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ветлана\Desktop\Дарья Диаз\5 МСЭД\реестр-новый-до-050521\"/>
    </mc:Choice>
  </mc:AlternateContent>
  <bookViews>
    <workbookView xWindow="0" yWindow="0" windowWidth="240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3" i="1" l="1"/>
  <c r="O100" i="1"/>
  <c r="O53" i="1"/>
  <c r="O51" i="1"/>
  <c r="O98" i="1"/>
  <c r="O88" i="1"/>
  <c r="O78" i="1"/>
  <c r="O61" i="1"/>
  <c r="O59" i="1"/>
  <c r="O34" i="1"/>
  <c r="O31" i="1"/>
  <c r="O113" i="1"/>
  <c r="O66" i="1"/>
  <c r="O29" i="1"/>
  <c r="O76" i="1"/>
  <c r="O80" i="1"/>
  <c r="O105" i="1"/>
  <c r="O103" i="1"/>
  <c r="O108" i="1"/>
  <c r="O150" i="1"/>
  <c r="O126" i="1"/>
  <c r="O115" i="1"/>
  <c r="O119" i="1"/>
  <c r="O110" i="1"/>
  <c r="O121" i="1"/>
  <c r="O124" i="1"/>
  <c r="O138" i="1"/>
  <c r="O148" i="1"/>
  <c r="O146" i="1"/>
  <c r="O144" i="1"/>
  <c r="O142" i="1"/>
  <c r="O140" i="1"/>
  <c r="O136" i="1"/>
  <c r="O134" i="1"/>
  <c r="O132" i="1"/>
  <c r="O130" i="1"/>
  <c r="O128" i="1"/>
  <c r="O96" i="1"/>
  <c r="O94" i="1"/>
  <c r="O92" i="1"/>
  <c r="O90" i="1"/>
  <c r="O86" i="1"/>
  <c r="O84" i="1"/>
  <c r="O74" i="1"/>
  <c r="O72" i="1"/>
  <c r="O70" i="1"/>
  <c r="O68" i="1"/>
  <c r="O64" i="1"/>
  <c r="O57" i="1"/>
  <c r="O55" i="1"/>
  <c r="O49" i="1"/>
  <c r="O47" i="1"/>
  <c r="O45" i="1"/>
  <c r="O43" i="1"/>
  <c r="O41" i="1"/>
  <c r="O39" i="1"/>
  <c r="O37" i="1"/>
  <c r="O27" i="1"/>
  <c r="O24" i="1"/>
  <c r="O22" i="1"/>
  <c r="O20" i="1"/>
  <c r="O17" i="1"/>
  <c r="O15" i="1"/>
  <c r="O13" i="1"/>
  <c r="O10" i="1"/>
  <c r="O8" i="1"/>
  <c r="O5" i="1"/>
  <c r="O470" i="1"/>
  <c r="O389" i="1"/>
  <c r="O277" i="1"/>
  <c r="O198" i="1"/>
  <c r="O525" i="1"/>
  <c r="O523" i="1"/>
  <c r="O511" i="1" l="1"/>
  <c r="O509" i="1"/>
  <c r="O507" i="1"/>
  <c r="O436" i="1"/>
  <c r="O377" i="1"/>
  <c r="O375" i="1"/>
  <c r="O373" i="1"/>
  <c r="O283" i="1"/>
  <c r="O291" i="1"/>
  <c r="O445" i="1"/>
  <c r="O420" i="1"/>
  <c r="O400" i="1"/>
  <c r="O398" i="1"/>
  <c r="O396" i="1"/>
  <c r="O362" i="1"/>
  <c r="O360" i="1"/>
  <c r="O348" i="1"/>
  <c r="O346" i="1"/>
  <c r="O322" i="1"/>
  <c r="O289" i="1"/>
  <c r="O274" i="1"/>
  <c r="O272" i="1"/>
  <c r="O270" i="1"/>
  <c r="O261" i="1"/>
  <c r="O244" i="1"/>
  <c r="O242" i="1"/>
  <c r="O189" i="1"/>
  <c r="O187" i="1"/>
  <c r="O185" i="1"/>
  <c r="O183" i="1"/>
  <c r="O164" i="1"/>
  <c r="O162" i="1"/>
  <c r="O160" i="1"/>
  <c r="O158" i="1"/>
  <c r="O335" i="1"/>
  <c r="O531" i="1"/>
  <c r="O263" i="1"/>
  <c r="O173" i="1"/>
  <c r="O529" i="1"/>
  <c r="O527" i="1"/>
  <c r="O366" i="1"/>
  <c r="O325" i="1"/>
  <c r="O320" i="1"/>
  <c r="O318" i="1"/>
  <c r="O218" i="1"/>
  <c r="O358" i="1"/>
  <c r="O356" i="1"/>
  <c r="O280" i="1"/>
  <c r="O513" i="1"/>
  <c r="O463" i="1"/>
  <c r="O459" i="1"/>
  <c r="O337" i="1"/>
  <c r="O327" i="1"/>
  <c r="O293" i="1"/>
  <c r="O230" i="1"/>
  <c r="O167" i="1"/>
  <c r="O522" i="1"/>
  <c r="O516" i="1"/>
  <c r="O354" i="1"/>
  <c r="O352" i="1"/>
  <c r="O171" i="1"/>
  <c r="O505" i="1"/>
  <c r="O503" i="1"/>
  <c r="O501" i="1"/>
  <c r="O499" i="1"/>
  <c r="O372" i="1"/>
  <c r="O370" i="1"/>
  <c r="O281" i="1"/>
  <c r="O278" i="1"/>
  <c r="O426" i="1"/>
  <c r="O333" i="1"/>
  <c r="O428" i="1"/>
  <c r="O390" i="1"/>
  <c r="O301" i="1"/>
  <c r="O225" i="1"/>
  <c r="O166" i="1"/>
  <c r="O518" i="1"/>
  <c r="O515" i="1"/>
  <c r="O497" i="1"/>
  <c r="O496" i="1"/>
  <c r="O495" i="1"/>
  <c r="O493" i="1"/>
  <c r="O491" i="1"/>
  <c r="O489" i="1"/>
  <c r="O487" i="1"/>
  <c r="O486" i="1"/>
  <c r="O483" i="1"/>
  <c r="O481" i="1"/>
  <c r="O476" i="1"/>
  <c r="O475" i="1"/>
  <c r="O472" i="1"/>
  <c r="O471" i="1"/>
  <c r="O466" i="1"/>
  <c r="O464" i="1"/>
  <c r="O461" i="1"/>
  <c r="O457" i="1"/>
  <c r="O453" i="1"/>
  <c r="O451" i="1"/>
  <c r="O449" i="1"/>
  <c r="O447" i="1"/>
  <c r="O444" i="1"/>
  <c r="O442" i="1"/>
  <c r="O440" i="1"/>
  <c r="O438" i="1"/>
  <c r="O432" i="1"/>
  <c r="O430" i="1"/>
  <c r="O423" i="1"/>
  <c r="O422" i="1"/>
  <c r="O418" i="1"/>
  <c r="O416" i="1"/>
  <c r="O414" i="1"/>
  <c r="O412" i="1"/>
  <c r="O410" i="1"/>
  <c r="O409" i="1"/>
  <c r="O408" i="1"/>
  <c r="O407" i="1"/>
  <c r="O406" i="1"/>
  <c r="O404" i="1"/>
  <c r="O402" i="1"/>
  <c r="O394" i="1"/>
  <c r="O392" i="1"/>
  <c r="O387" i="1"/>
  <c r="O385" i="1"/>
  <c r="O383" i="1"/>
  <c r="O381" i="1"/>
  <c r="O368" i="1"/>
  <c r="O364" i="1"/>
  <c r="O350" i="1"/>
  <c r="O345" i="1"/>
  <c r="O343" i="1"/>
  <c r="O341" i="1"/>
  <c r="O339" i="1"/>
  <c r="O331" i="1"/>
  <c r="O329" i="1"/>
  <c r="O317" i="1"/>
  <c r="O316" i="1"/>
  <c r="O314" i="1"/>
  <c r="O312" i="1"/>
  <c r="O310" i="1"/>
  <c r="O308" i="1"/>
  <c r="O306" i="1"/>
  <c r="O305" i="1"/>
  <c r="O303" i="1"/>
  <c r="O299" i="1"/>
  <c r="O298" i="1"/>
  <c r="O297" i="1"/>
  <c r="O295" i="1"/>
  <c r="O287" i="1"/>
  <c r="O285" i="1"/>
  <c r="O269" i="1"/>
  <c r="O267" i="1"/>
  <c r="O265" i="1"/>
  <c r="O264" i="1"/>
  <c r="O259" i="1"/>
  <c r="O257" i="1"/>
  <c r="O255" i="1"/>
  <c r="O253" i="1"/>
  <c r="O251" i="1"/>
  <c r="O249" i="1"/>
  <c r="O248" i="1"/>
  <c r="O246" i="1"/>
  <c r="O240" i="1"/>
  <c r="O238" i="1"/>
  <c r="O236" i="1"/>
  <c r="O234" i="1" l="1"/>
  <c r="O233" i="1"/>
  <c r="O228" i="1"/>
  <c r="O226" i="1"/>
  <c r="O222" i="1"/>
  <c r="O220" i="1"/>
  <c r="O219" i="1"/>
  <c r="O215" i="1"/>
  <c r="O213" i="1"/>
  <c r="O209" i="1"/>
  <c r="O206" i="1"/>
  <c r="O203" i="1"/>
  <c r="O201" i="1"/>
  <c r="O199" i="1"/>
  <c r="O197" i="1"/>
  <c r="O195" i="1"/>
  <c r="O193" i="1"/>
  <c r="O191" i="1"/>
  <c r="O181" i="1"/>
  <c r="O179" i="1"/>
  <c r="O177" i="1"/>
  <c r="O175" i="1"/>
  <c r="O156" i="1"/>
  <c r="O154" i="1"/>
  <c r="O152" i="1"/>
  <c r="O455" i="1"/>
  <c r="O379" i="1"/>
  <c r="O479" i="1"/>
  <c r="O473" i="1"/>
  <c r="O434" i="1"/>
  <c r="O468" i="1"/>
  <c r="O424" i="1"/>
</calcChain>
</file>

<file path=xl/sharedStrings.xml><?xml version="1.0" encoding="utf-8"?>
<sst xmlns="http://schemas.openxmlformats.org/spreadsheetml/2006/main" count="2952" uniqueCount="1345">
  <si>
    <t>кол-во емкостей</t>
  </si>
  <si>
    <t>объем емкости, м3</t>
  </si>
  <si>
    <t>тип емкости</t>
  </si>
  <si>
    <t>вид отходов</t>
  </si>
  <si>
    <t>Отходообразователи</t>
  </si>
  <si>
    <t>Совокупный объем установленных емкостей, м3</t>
  </si>
  <si>
    <t xml:space="preserve">Контейнерная группа </t>
  </si>
  <si>
    <t>Площадь площадки, м2</t>
  </si>
  <si>
    <t>Наличие твёрдого основания</t>
  </si>
  <si>
    <t xml:space="preserve">Категория площадки </t>
  </si>
  <si>
    <t>Долгота</t>
  </si>
  <si>
    <t>Широта</t>
  </si>
  <si>
    <t>Адрес площадки</t>
  </si>
  <si>
    <t>Идентификационный номер площадки</t>
  </si>
  <si>
    <t>№</t>
  </si>
  <si>
    <t>Реестр общественных контейнерных площадок и отходообразователей г.о. Зарайск</t>
  </si>
  <si>
    <t xml:space="preserve">«Утверждаю» 
администрация городского округа Зарайск
_________________________
_________________________
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</si>
  <si>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«Согласовано» 
ООО "Каширский РО"
_________________________
_________________________
_________________________                                                                                                                                         </t>
  </si>
  <si>
    <t>b1c71747-e2bd-48f3-b386-a1b9e9c38cca</t>
  </si>
  <si>
    <t>г. о. Зарайск, д. Пенкино</t>
  </si>
  <si>
    <t>54.8407630920410</t>
  </si>
  <si>
    <t>38.8926506042480</t>
  </si>
  <si>
    <t>ИЖС</t>
  </si>
  <si>
    <t>+</t>
  </si>
  <si>
    <t>РСО</t>
  </si>
  <si>
    <t>РСО сетка РО</t>
  </si>
  <si>
    <t xml:space="preserve">ИЖС-16,58куб.м. </t>
  </si>
  <si>
    <t>ТБО</t>
  </si>
  <si>
    <t>Евро 1.1 серый РО</t>
  </si>
  <si>
    <t>2a9a2068-d162-40e0-96e4-a280d5b5bf72</t>
  </si>
  <si>
    <t>г. о. Зарайск, д. Секирино</t>
  </si>
  <si>
    <t>54.8147354125977</t>
  </si>
  <si>
    <t>38.7418823242188</t>
  </si>
  <si>
    <t xml:space="preserve">ИЖС-20,81куб.м. </t>
  </si>
  <si>
    <t>5633b4d1-48ea-4fae-b383-fab6593b4fe3</t>
  </si>
  <si>
    <t>г.о Зарайск, д. Печерники, ул. Новоселов</t>
  </si>
  <si>
    <t>54.6626091003418</t>
  </si>
  <si>
    <t>39.2123336791992</t>
  </si>
  <si>
    <t xml:space="preserve">ИЖС-18,82куб.м. </t>
  </si>
  <si>
    <t>0eff2fda-6be3-4264-989a-51ff3699da12</t>
  </si>
  <si>
    <t>г.о Зарайск, д. Спас-Дощатый</t>
  </si>
  <si>
    <t>54.8955078125000</t>
  </si>
  <si>
    <t>38.8005638122559</t>
  </si>
  <si>
    <t>ИЖС-24,1куб.м. МЕСТНАЯ РЕЛИГИОЗНАЯ ОРГАНИЗАЦИЯ ПРАВОСЛАВНЫЙ ПРИХОД ПРЕОБРАЖЕНСКОГО  ХРАМА С. СПАС-ДОЩАТЫЙ ЗАРАЙСКОГ-0,07куб.м</t>
  </si>
  <si>
    <t>93cfc037-54fe-4246-a273-e0e3b8e3bc26</t>
  </si>
  <si>
    <t>г.о, Зарайск, д.Столпово у ангара</t>
  </si>
  <si>
    <t>54.7726211547852</t>
  </si>
  <si>
    <t>38.9902076721191</t>
  </si>
  <si>
    <t xml:space="preserve">ИЖС-18,09куб.м. </t>
  </si>
  <si>
    <t>475b850c-bc68-4414-9421-ed322afd6bd3</t>
  </si>
  <si>
    <t>г.о. Зарайск , д. Машоново</t>
  </si>
  <si>
    <t>54.8063735961914</t>
  </si>
  <si>
    <t>38.8161811828613</t>
  </si>
  <si>
    <t xml:space="preserve">ИЖС-17,32куб.м. </t>
  </si>
  <si>
    <t>22641601-cc7d-4d25-8399-5081a6935093</t>
  </si>
  <si>
    <t>г.о. Зарайск , д. Радушино</t>
  </si>
  <si>
    <t>54.8216056823730</t>
  </si>
  <si>
    <t>38.8245811462402</t>
  </si>
  <si>
    <t xml:space="preserve">ИЖС-21,43куб.м. </t>
  </si>
  <si>
    <t>38.8900794982910</t>
  </si>
  <si>
    <t>b62c1750-85e7-4c8c-b5dc-81e919961fa7</t>
  </si>
  <si>
    <t>г.о. Зарайск, д. Авдеево, д. 13</t>
  </si>
  <si>
    <t>54.6706390380859</t>
  </si>
  <si>
    <t>38.8808975219727</t>
  </si>
  <si>
    <t>ИЖС-13,12куб.м. ПОЧТА РОССИИ АО-0,13куб.м</t>
  </si>
  <si>
    <t>6df7af0a-7886-4c71-aaef-271ff1f1f463</t>
  </si>
  <si>
    <t>г.о. Зарайск, д. Авдеево, д. 22 (д. 9)</t>
  </si>
  <si>
    <t>54.6717720031738</t>
  </si>
  <si>
    <t>38.8817672729492</t>
  </si>
  <si>
    <t xml:space="preserve">ИЖС-16,28куб.м. </t>
  </si>
  <si>
    <t>693acf91-3cea-454f-bd1b-4dc171ba8c53</t>
  </si>
  <si>
    <t>г.о. Зарайск, д. Авдеево, д. 42</t>
  </si>
  <si>
    <t>54.6701278686523</t>
  </si>
  <si>
    <t>38.8847579956055</t>
  </si>
  <si>
    <t>-</t>
  </si>
  <si>
    <t xml:space="preserve">ИЖС-14,25куб.м. </t>
  </si>
  <si>
    <t>d7a15c0a-cb5b-4f0a-a3ba-92222cafb4c8</t>
  </si>
  <si>
    <t>г.о. Зарайск, д. Алферьево, д. 11</t>
  </si>
  <si>
    <t>54.6521835327148</t>
  </si>
  <si>
    <t>38.7497482299805</t>
  </si>
  <si>
    <t>ИЖС-24,54куб.м. ПОЧТА РОССИИ АО-0,09куб.м</t>
  </si>
  <si>
    <t>14c03cf1-850e-419b-a03c-d2bb2cbde256</t>
  </si>
  <si>
    <t>г.о. Зарайск, д. Алферьево, д. 30а</t>
  </si>
  <si>
    <t>54.6557693481445</t>
  </si>
  <si>
    <t>38.7464523315430</t>
  </si>
  <si>
    <t>ИЖС-24,99куб.м. МБУ «Чулковский СДК»-0,46куб.м</t>
  </si>
  <si>
    <t>3a3f22a0-58b0-42e1-90fe-a06116c69ffe</t>
  </si>
  <si>
    <t>г.о. Зарайск, д. Алферьево, д. 43</t>
  </si>
  <si>
    <t>54.6577758789062</t>
  </si>
  <si>
    <t>38.7464027404785</t>
  </si>
  <si>
    <t xml:space="preserve">ИЖС-23,58куб.м. </t>
  </si>
  <si>
    <t>343e0519-905f-441b-8a35-96dda50251f6</t>
  </si>
  <si>
    <t>г.о. Зарайск, д. Алферьево, д. 53</t>
  </si>
  <si>
    <t>54.6604042053223</t>
  </si>
  <si>
    <t>38.7458648681641</t>
  </si>
  <si>
    <t>ИЖС-19,5куб.м. СНТ Ягодка-1,58куб.м</t>
  </si>
  <si>
    <t>a8f6cc20-e325-4a03-b4ac-7b9858e414de</t>
  </si>
  <si>
    <t>г.о. Зарайск, д. Апонитищи, д. 136</t>
  </si>
  <si>
    <t>54.8175697326660</t>
  </si>
  <si>
    <t>39.0403671264648</t>
  </si>
  <si>
    <t xml:space="preserve">ИЖС-20,74куб.м. </t>
  </si>
  <si>
    <t>4588432c-910e-44dc-b8c4-5c29090a5493</t>
  </si>
  <si>
    <t>г.о. Зарайск, д. Апонитищи, за храмом</t>
  </si>
  <si>
    <t>54.8201828002930</t>
  </si>
  <si>
    <t>39.0392684936523</t>
  </si>
  <si>
    <t>ИЖС-22,44куб.м. МЕСТНАЯ РЕЛИГИОЗНАЯ ОРГАНИЗАЦИЯ ПРАВОСЛАВНЫЙ ПРИХОД НИКОЛЬСКОГО  ХРАМА Д. АПОНИТИЩИ ЗАРАЙСКОГО РАЙОН-0,07куб.м</t>
  </si>
  <si>
    <t>a70dfec2-d053-416f-9399-340b70273eb6</t>
  </si>
  <si>
    <t>г.о. Зарайск, д. Аргуново</t>
  </si>
  <si>
    <t>54.8814811706543</t>
  </si>
  <si>
    <t>38.8231811523438</t>
  </si>
  <si>
    <t xml:space="preserve">ИЖС-13,99куб.м. </t>
  </si>
  <si>
    <t>5987d636-8cb4-43c9-a5b4-f67e2f051624</t>
  </si>
  <si>
    <t>г.о. Зарайск, д. Астрамьево</t>
  </si>
  <si>
    <t>54.7548942565918</t>
  </si>
  <si>
    <t>39.1463775634766</t>
  </si>
  <si>
    <t xml:space="preserve">ИЖС-9,49куб.м. </t>
  </si>
  <si>
    <t>a76fe724-608a-4326-9806-1b9e7651ed32</t>
  </si>
  <si>
    <t>г.о. Зарайск, д. Б. Белыничи, ул. Центральная</t>
  </si>
  <si>
    <t>54.6310005187988</t>
  </si>
  <si>
    <t>38.8228569030762</t>
  </si>
  <si>
    <t>ИЖС-21,29куб.м. МБУ «ДК поселка «Зарайский»-0,52куб.м</t>
  </si>
  <si>
    <t>33ba86ca-8091-4cb8-838c-1007e7867fbb</t>
  </si>
  <si>
    <t>г.о. Зарайск, д. Беспятово, д. 136</t>
  </si>
  <si>
    <t>54.7586364746094</t>
  </si>
  <si>
    <t>38.8962326049805</t>
  </si>
  <si>
    <t xml:space="preserve">ИЖС-21,38куб.м. </t>
  </si>
  <si>
    <t>68787e7c-90cb-4320-99a3-f9395bf2c06d</t>
  </si>
  <si>
    <t>г.о. Зарайск, д. Беспятово, д. 159</t>
  </si>
  <si>
    <t>54.7590217590332</t>
  </si>
  <si>
    <t>38.9034576416016</t>
  </si>
  <si>
    <t>КГМ</t>
  </si>
  <si>
    <t>Бункер 8</t>
  </si>
  <si>
    <t xml:space="preserve">ИЖС-56,1куб.м. </t>
  </si>
  <si>
    <t>0482ed7b-4829-4033-9679-a4078c0939f2</t>
  </si>
  <si>
    <t>г.о. Зарайск, д. Беспятово, д. 17</t>
  </si>
  <si>
    <t>54.7637405395508</t>
  </si>
  <si>
    <t>38.9061164855957</t>
  </si>
  <si>
    <t xml:space="preserve">ИЖС-23,43куб.м. </t>
  </si>
  <si>
    <t>4a8edf28-2230-47a2-87c0-7cd9c613c5a2</t>
  </si>
  <si>
    <t>г.о. Зарайск, д. Беспятово, д. 179</t>
  </si>
  <si>
    <t>54.7512626647949</t>
  </si>
  <si>
    <t>38.9077720642090</t>
  </si>
  <si>
    <t xml:space="preserve">ИЖС-91,83куб.м. </t>
  </si>
  <si>
    <t>7e45785a-9d25-456a-abbe-4910f17cf9f3</t>
  </si>
  <si>
    <t>г.о. Зарайск, д. Большие Белыничи, ул. Полянка, ул. Курлычка</t>
  </si>
  <si>
    <t>54.6319351196289</t>
  </si>
  <si>
    <t>38.8299064636230</t>
  </si>
  <si>
    <t xml:space="preserve">ИЖС-9,32куб.м. </t>
  </si>
  <si>
    <t>9f9c4442-a284-44e6-9164-604d631996ee</t>
  </si>
  <si>
    <t>г.о. Зарайск, д. Большие Белыничи, ул. Толкачевка</t>
  </si>
  <si>
    <t>54.6339912414551</t>
  </si>
  <si>
    <t>38.8195075988770</t>
  </si>
  <si>
    <t>ИЖС-49,37куб.м. МЕСТНАЯ РЕЛИГИОЗНАЯ ОРГАНИЗАЦИЯ ПРАВОСЛАВНЫЙ ПРИХОД БОГОРОДИЦЕРОЖДЕСТВЕНСКОГО ХРАМА Д. БОЛЬШИЕ БЕЛЫН-0,07куб.м</t>
  </si>
  <si>
    <t>9a09e1f7-8857-4f90-be1e-ebb666e63371</t>
  </si>
  <si>
    <t>г.о. Зарайск, д. Болотня</t>
  </si>
  <si>
    <t>54.7153091430664</t>
  </si>
  <si>
    <t>38.6490478515625</t>
  </si>
  <si>
    <t xml:space="preserve">ИЖС-7,83куб.м. </t>
  </si>
  <si>
    <t>bb4ba45b-632e-411d-b4a8-ed36c511c30e</t>
  </si>
  <si>
    <t>г.о. Зарайск, д. Борисово Околицы между д. 3 и 4</t>
  </si>
  <si>
    <t>54.7929077148438</t>
  </si>
  <si>
    <t>38.9541282653809</t>
  </si>
  <si>
    <t xml:space="preserve">ИЖС-12,46куб.м. </t>
  </si>
  <si>
    <t>7ae5f674-2383-4173-8680-8fffc2b5faab</t>
  </si>
  <si>
    <t>г.о. Зарайск, д. Борисово-Околицы</t>
  </si>
  <si>
    <t>54.7886505126953</t>
  </si>
  <si>
    <t>38.9584693908691</t>
  </si>
  <si>
    <t xml:space="preserve">ИЖС-45,49куб.м. </t>
  </si>
  <si>
    <t>8b19c8eb-5356-476f-af6b-9596fb058ace</t>
  </si>
  <si>
    <t>г.о. Зарайск, д. Великое Поле</t>
  </si>
  <si>
    <t>54.7804450988770</t>
  </si>
  <si>
    <t>38.8679656982422</t>
  </si>
  <si>
    <t xml:space="preserve">ИЖС-28,83куб.м. </t>
  </si>
  <si>
    <t>289d1e4a-7b84-40a1-ab73-0b44a6cd079e</t>
  </si>
  <si>
    <t>г.о. Зарайск, д. Верхнее Вельяминово</t>
  </si>
  <si>
    <t>54.8038787841797</t>
  </si>
  <si>
    <t>38.9609298706055</t>
  </si>
  <si>
    <t xml:space="preserve">ИЖС-12,19куб.м. </t>
  </si>
  <si>
    <t>c75d418e-2a91-462a-ac8a-bd9ef6ded0b2</t>
  </si>
  <si>
    <t>г.о. Зарайск, д. Верхнее Плуталово</t>
  </si>
  <si>
    <t>54.7787513732910</t>
  </si>
  <si>
    <t>39.0400733947754</t>
  </si>
  <si>
    <t xml:space="preserve">ИЖС-27,99куб.м. </t>
  </si>
  <si>
    <t>b7e04fbe-9885-4f99-b298-ca853c0964cf</t>
  </si>
  <si>
    <t>г.о. Зарайск, д. Воронино</t>
  </si>
  <si>
    <t>54.7487220764160</t>
  </si>
  <si>
    <t>38.9110908508301</t>
  </si>
  <si>
    <t xml:space="preserve">ИЖС-32,52куб.м. </t>
  </si>
  <si>
    <t>e3a70507-fe79-418f-8acd-e07a0936e4f8</t>
  </si>
  <si>
    <t>г.о. Зарайск, д. Гололобово д.13 за клубом</t>
  </si>
  <si>
    <t>54.7640762329102</t>
  </si>
  <si>
    <t>38.9259872436523</t>
  </si>
  <si>
    <t xml:space="preserve">МКД-38,9куб.м. </t>
  </si>
  <si>
    <t>e40c9775-ed96-4d33-99f3-2637464f52f6</t>
  </si>
  <si>
    <t>г.о. Зарайск, д. Гололобово, д. 2</t>
  </si>
  <si>
    <t>54.7630882263184</t>
  </si>
  <si>
    <t>38.9223365783691</t>
  </si>
  <si>
    <t>ИЖС-18,58куб.м. МБУ «Ерновский сельский дом культуры»-1,16куб.м</t>
  </si>
  <si>
    <t>9e26b3ce-ac1d-497a-b80b-de1fc13d3820</t>
  </si>
  <si>
    <t>г.о. Зарайск, д. Гололобово, д. 60</t>
  </si>
  <si>
    <t>54.7591438293457</t>
  </si>
  <si>
    <t>38.9181480407715</t>
  </si>
  <si>
    <t xml:space="preserve">ИЖС-19,65куб.м. </t>
  </si>
  <si>
    <t>2b67bbd5-a36d-4920-836d-7749c95f3cc7</t>
  </si>
  <si>
    <t>г.о. Зарайск, д. Давыдово</t>
  </si>
  <si>
    <t>54.6805496215820</t>
  </si>
  <si>
    <t>39.1159820556641</t>
  </si>
  <si>
    <t>cf8ea49f-a330-4ca8-97fa-a53978542c28</t>
  </si>
  <si>
    <t>г.о. Зарайск, д. Даровое (възд в деревню)</t>
  </si>
  <si>
    <t>54.6949272155762</t>
  </si>
  <si>
    <t>38.7407684326172</t>
  </si>
  <si>
    <t xml:space="preserve">ИЖС-17,39куб.м. </t>
  </si>
  <si>
    <t>1870239f-13a6-43da-a1a2-2f0392d4a659</t>
  </si>
  <si>
    <t>г.о. Зарайск, д. Добрая Слободка</t>
  </si>
  <si>
    <t>54.7020225524902</t>
  </si>
  <si>
    <t>39.0448341369629</t>
  </si>
  <si>
    <t xml:space="preserve">ИЖС-17,02куб.м. </t>
  </si>
  <si>
    <t>3a93ae83-05f5-4224-aae4-8e08379cb8f9</t>
  </si>
  <si>
    <t>г.о. Зарайск, д. Дятлово-2</t>
  </si>
  <si>
    <t>54.7359580993652</t>
  </si>
  <si>
    <t>38.7764854431152</t>
  </si>
  <si>
    <t xml:space="preserve">ИЖС-28,99куб.м. </t>
  </si>
  <si>
    <t>7b0c41d5-f782-4149-9797-274525ccf4e3</t>
  </si>
  <si>
    <t>г.о. Зарайск, д. Дятлово-3</t>
  </si>
  <si>
    <t>54.7128601074219</t>
  </si>
  <si>
    <t>39.0745582580566</t>
  </si>
  <si>
    <t xml:space="preserve">ИЖС-17,6куб.м. </t>
  </si>
  <si>
    <t>7eb61d02-8499-4110-8229-8465a72cf50d</t>
  </si>
  <si>
    <t>г.о. Зарайск, д. Ерново, ул. Зеленая, д. 52</t>
  </si>
  <si>
    <t>54.7594032287598</t>
  </si>
  <si>
    <t>39.0135078430176</t>
  </si>
  <si>
    <t xml:space="preserve">ИЖС-26,23куб.м. </t>
  </si>
  <si>
    <t>cd578057-f7c5-4eb9-8aa3-552212ebaec4</t>
  </si>
  <si>
    <t>г.о. Зарайск, д. Ерново, ул. Зеленая, д. 65</t>
  </si>
  <si>
    <t>54.7579536437988</t>
  </si>
  <si>
    <t>39.0131721496582</t>
  </si>
  <si>
    <t xml:space="preserve">ИЖС-24,67куб.м. </t>
  </si>
  <si>
    <t>c925bb75-d997-4b43-b4d3-ddbf19bd6dbe</t>
  </si>
  <si>
    <t>г.о. Зарайск, д. Ерново, ул. Садовая, д. 20</t>
  </si>
  <si>
    <t>54.7568511962891</t>
  </si>
  <si>
    <t>39.0099296569824</t>
  </si>
  <si>
    <t>ИЖС-20,69куб.м. ГБУЗ МО «ЗЦРБ»-0,14куб.м; ПОЧТА РОССИИ АО-0,11куб.м</t>
  </si>
  <si>
    <t>4c81a520-97d6-499a-8ab7-e62340aeac7a</t>
  </si>
  <si>
    <t>г.о. Зарайск, д. Жилконцы</t>
  </si>
  <si>
    <t>54.7860221862793</t>
  </si>
  <si>
    <t>39.1579742431641</t>
  </si>
  <si>
    <t>ИЖС-24,93куб.м. МБУ «Ерновский сельский дом культуры»-0,35куб.м</t>
  </si>
  <si>
    <t>72c61341-58f0-4b06-96cb-95c2812f8b5b</t>
  </si>
  <si>
    <t>г.о. Зарайск, д. Журавна, д. 23</t>
  </si>
  <si>
    <t>54.6716613769531</t>
  </si>
  <si>
    <t>38.5835227966309</t>
  </si>
  <si>
    <t xml:space="preserve">ИЖС-15,47куб.м. </t>
  </si>
  <si>
    <t>84ec4858-6159-4823-8166-f27e69554ef5</t>
  </si>
  <si>
    <t>г.о. Зарайск, д. Журавна, д. 50</t>
  </si>
  <si>
    <t>54.6693420410156</t>
  </si>
  <si>
    <t>38.5959739685059</t>
  </si>
  <si>
    <t>ИЖС-19,03куб.м. МБУ «Чулковский СДК»-0,7куб.м</t>
  </si>
  <si>
    <t>e13acfe3-7928-40e4-bc9d-fdd924c047a3</t>
  </si>
  <si>
    <t>г.о. Зарайск, д. Журавна, д. 70 напротив</t>
  </si>
  <si>
    <t>54.6679115295410</t>
  </si>
  <si>
    <t>38.5965614318848</t>
  </si>
  <si>
    <t>ИЖС-33,11куб.м. ООО "Красная Звезда"-0,07куб.м; ПОЧТА РОССИИ АО-0,1куб.м</t>
  </si>
  <si>
    <t>1caf242c-e6f0-4aba-8d5d-a9ddca88a396</t>
  </si>
  <si>
    <t>г.о. Зарайск, д. Зайцево</t>
  </si>
  <si>
    <t>54.6644821166992</t>
  </si>
  <si>
    <t>38.6078262329102</t>
  </si>
  <si>
    <t xml:space="preserve">ИЖС-28,72куб.м. </t>
  </si>
  <si>
    <t>b6007237-4b44-44ca-996d-5c33673d4f79</t>
  </si>
  <si>
    <t>г.о. Зарайск, д. Зименки-1 д. 5</t>
  </si>
  <si>
    <t>54.6638031005859</t>
  </si>
  <si>
    <t>39.0296974182129</t>
  </si>
  <si>
    <t xml:space="preserve">ИЖС-17,7куб.м. </t>
  </si>
  <si>
    <t>a7862f03-81ba-4ed5-898d-e6db4c56efb6</t>
  </si>
  <si>
    <t>г.о. Зарайск, д. Иванчиково (1 въезд по грунтовой дороге)</t>
  </si>
  <si>
    <t>54.6938972473145</t>
  </si>
  <si>
    <t>38.8210182189941</t>
  </si>
  <si>
    <t xml:space="preserve">ИЖС-13,35куб.м. </t>
  </si>
  <si>
    <t>fe6ac95a-75b7-4413-afd2-5498d8c73330</t>
  </si>
  <si>
    <t>г.о. Зарайск, д. Иванчиково, напротив остановки</t>
  </si>
  <si>
    <t>54.6934394836426</t>
  </si>
  <si>
    <t>38.8208656311035</t>
  </si>
  <si>
    <t>ИЖС-34,17куб.м. МБУ «Чулковский СДК»-0,35куб.м</t>
  </si>
  <si>
    <t>03b0bdf8-eabe-455c-8e8f-1c40ebb7f7a9</t>
  </si>
  <si>
    <t>г.о. Зарайск, д. Иваньшево, ИЖС</t>
  </si>
  <si>
    <t>54.7079811096191</t>
  </si>
  <si>
    <t>38.6648635864258</t>
  </si>
  <si>
    <t xml:space="preserve">ИЖС-4,31куб.м. </t>
  </si>
  <si>
    <t>02b031ab-add8-45bd-b627-2d2986f114b7</t>
  </si>
  <si>
    <t>г.о. Зарайск, д. Ивашково</t>
  </si>
  <si>
    <t>54.7041931152344</t>
  </si>
  <si>
    <t>39.1844558715820</t>
  </si>
  <si>
    <t xml:space="preserve">ИЖС-25,39куб.м. </t>
  </si>
  <si>
    <t>ca296e51-a231-4d0a-946e-e65ca133b255</t>
  </si>
  <si>
    <t>г.о. Зарайск, д. Истоминка (бункер свить на отсыпанную площадку)</t>
  </si>
  <si>
    <t>54.6647567749023</t>
  </si>
  <si>
    <t>38.6362266540527</t>
  </si>
  <si>
    <t xml:space="preserve">ИЖС-20,82куб.м. </t>
  </si>
  <si>
    <t>121fa926-5abe-4e18-904e-a58e1cd325a7</t>
  </si>
  <si>
    <t>г.о. Зарайск, д. Истоминка, КП 2</t>
  </si>
  <si>
    <t>54.6646461486816</t>
  </si>
  <si>
    <t>38.6364860534668</t>
  </si>
  <si>
    <t xml:space="preserve">ИЖС-9,99куб.м. </t>
  </si>
  <si>
    <t>63228502-7e20-404f-8d42-2e713c09310c</t>
  </si>
  <si>
    <t>г.о. Зарайск, д. Карино, ул. Кооперативная</t>
  </si>
  <si>
    <t>54.6911430358887</t>
  </si>
  <si>
    <t>38.9274330139160</t>
  </si>
  <si>
    <t xml:space="preserve">ИЖС-21,48куб.м. </t>
  </si>
  <si>
    <t>b769f918-c7cd-4846-96fe-df116714ef3a</t>
  </si>
  <si>
    <t>г.о. Зарайск, д. Карино, ул. Кооперативная (на выезде)</t>
  </si>
  <si>
    <t>54.6921882629395</t>
  </si>
  <si>
    <t>38.9283256530762</t>
  </si>
  <si>
    <t>ИЖС-17,46куб.м. ООО "ЗЧП-1"-0,14куб.м</t>
  </si>
  <si>
    <t>1a909bec-4a99-4585-b19e-1cecece36ebe</t>
  </si>
  <si>
    <t>г.о. Зарайск, д. Карино, ул. Сельская</t>
  </si>
  <si>
    <t>54.6982803344727</t>
  </si>
  <si>
    <t>38.9284286499023</t>
  </si>
  <si>
    <t>ИЖС-20,26куб.м. МБУ «ДК поселка «Зарайский»-0,58куб.м; ПОЧТА РОССИИ АО-0,05куб.м</t>
  </si>
  <si>
    <t>7ca5b55a-fcc5-480f-93a4-0d965a22179d</t>
  </si>
  <si>
    <t>г.о. Зарайск, д. Карино, ул. Советская у храма</t>
  </si>
  <si>
    <t>54.6933403015137</t>
  </si>
  <si>
    <t>38.9340515136719</t>
  </si>
  <si>
    <t xml:space="preserve">ИЖС-25,15куб.м. </t>
  </si>
  <si>
    <t>fb703d28-0f47-4d01-9b1c-b291558c998e</t>
  </si>
  <si>
    <t>г.о. Зарайск, д. Карино, ул. Советская, д. 1 (У администрации)</t>
  </si>
  <si>
    <t>54.6907844543457</t>
  </si>
  <si>
    <t>38.9313087463379</t>
  </si>
  <si>
    <t>ИЖС-17,37куб.м. Безруков Ю. М.-0,59куб.м</t>
  </si>
  <si>
    <t>60a14a23-df9b-4d7f-b977-05f431095270</t>
  </si>
  <si>
    <t>г.о. Зарайск, д. Карманово</t>
  </si>
  <si>
    <t>54.7108840942383</t>
  </si>
  <si>
    <t>38.8675193786621</t>
  </si>
  <si>
    <t>07ff42d6-ef40-4cb0-bc72-66ce01ec0da1</t>
  </si>
  <si>
    <t>г.о. Зарайск, д. Клин Бельдин</t>
  </si>
  <si>
    <t>54.7424201965332</t>
  </si>
  <si>
    <t>39.2211761474609</t>
  </si>
  <si>
    <t>Евро 0.8</t>
  </si>
  <si>
    <t>ИЖС-27,23куб.м. МЕСТНАЯ РЕЛИГИОЗНАЯ ОРГАНИЗАЦИЯ ПРАВОСЛАВНЫЙ ПРИХОД БЛАГОВЕЩЕНСКОГО ХРАМА Д. КЛИН-БЕЛЬДИН ЗАРАЙСКОГО-0,07куб.м</t>
  </si>
  <si>
    <t>296972fb-9a76-4d96-9f07-d64e46ce27d5</t>
  </si>
  <si>
    <t>г.о. Зарайск, д. Кувшиново на въезде</t>
  </si>
  <si>
    <t>54.6765861511230</t>
  </si>
  <si>
    <t>39.0571098327637</t>
  </si>
  <si>
    <t xml:space="preserve">ИЖС-22,35куб.м. </t>
  </si>
  <si>
    <t>85f1deaa-350d-497a-acf7-3514e8197a2c</t>
  </si>
  <si>
    <t>г.о. Зарайск, д. Куково</t>
  </si>
  <si>
    <t>54.6873016357422</t>
  </si>
  <si>
    <t>38.8430824279785</t>
  </si>
  <si>
    <t>ИЖС-9,05куб.м. МЕСТНАЯ РЕЛИГИОЗНАЯ ОРГАНИЗАЦИЯ ПРАВОСЛАВНЫЙ ПРИХОД УСПЕНСКОГО ХРАМА Д. КУКОВО ЗАРАЙСКОГО РАЙОНА МОС-0,07куб.м</t>
  </si>
  <si>
    <t>37edc35e-6a4c-486b-8a9f-5d0c6cfe067a</t>
  </si>
  <si>
    <t>г.о. Зарайск, д. Летуново, ул Школьная</t>
  </si>
  <si>
    <t>54.6999244689941</t>
  </si>
  <si>
    <t>39.0108375549316</t>
  </si>
  <si>
    <t>ИЖС-27,95куб.м. ГБУЗ МО «ЗЦРБ»-0,07куб.м; МБУ «ДК поселка «Зарайский»-0,7куб.м</t>
  </si>
  <si>
    <t>26c93a80-21c6-4526-a202-fdb2cd5fdef9</t>
  </si>
  <si>
    <t>г.о. Зарайск, д. Летуново, ул. Гагаринская, д. 18</t>
  </si>
  <si>
    <t>54.7023773193359</t>
  </si>
  <si>
    <t>39.0225486755371</t>
  </si>
  <si>
    <t xml:space="preserve">ИЖС-21,47куб.м. </t>
  </si>
  <si>
    <t>fb1ac090-4bcd-40d0-875b-a95497a3167e</t>
  </si>
  <si>
    <t>г.о. Зарайск, д. Летуново, ул. Червинка</t>
  </si>
  <si>
    <t>54.6960449218750</t>
  </si>
  <si>
    <t>39.0108413696289</t>
  </si>
  <si>
    <t xml:space="preserve">ИЖС-18,98куб.м. </t>
  </si>
  <si>
    <t>7e2bbac3-5f47-483a-b5f5-9bd47c400822</t>
  </si>
  <si>
    <t>г.о. Зарайск, д. Летуново, ул.Магазинная, д. 13 (ИЖС)</t>
  </si>
  <si>
    <t>54.7016868591309</t>
  </si>
  <si>
    <t>39.0193710327148</t>
  </si>
  <si>
    <t xml:space="preserve">ИЖС-29,13куб.м. </t>
  </si>
  <si>
    <t>cc1a5892-7160-48f7-9ae1-e9b11f3d0f62</t>
  </si>
  <si>
    <t>г.о. Зарайск, д. М.Еськино</t>
  </si>
  <si>
    <t>54.7978096008301</t>
  </si>
  <si>
    <t>38.9997482299805</t>
  </si>
  <si>
    <t xml:space="preserve">ИЖС-20,99куб.м. </t>
  </si>
  <si>
    <t>43f96ff8-301f-406f-b6cd-7f46669fffbe</t>
  </si>
  <si>
    <t>г.о. Зарайск, д. Малые Белыничи (1 КП)</t>
  </si>
  <si>
    <t>54.6501502990723</t>
  </si>
  <si>
    <t>38.8214111328125</t>
  </si>
  <si>
    <t xml:space="preserve">ИЖС-27,48куб.м. </t>
  </si>
  <si>
    <t>4ec9cc58-624f-4c01-a9ee-60a129ed4bf0</t>
  </si>
  <si>
    <t>г.о. Зарайск, д. Маркино</t>
  </si>
  <si>
    <t>54.8003921508789</t>
  </si>
  <si>
    <t>38.8588218688965</t>
  </si>
  <si>
    <t xml:space="preserve">ИЖС-31,99куб.м. </t>
  </si>
  <si>
    <t>be8efef8-9872-47a7-a36b-9553fc36ed82</t>
  </si>
  <si>
    <t>г.о. Зарайск, д. Мендюкино, д. 105</t>
  </si>
  <si>
    <t>54.7755165100098</t>
  </si>
  <si>
    <t>38.8444404602051</t>
  </si>
  <si>
    <t xml:space="preserve">ИЖС-38,46куб.м. </t>
  </si>
  <si>
    <t>e9df6dff-034b-484b-ad80-e2d86d6f3a3a</t>
  </si>
  <si>
    <t>г.о. Зарайск, д. Мендюкино, д. 17</t>
  </si>
  <si>
    <t>54.7754631042480</t>
  </si>
  <si>
    <t>38.8496704101562</t>
  </si>
  <si>
    <t>ИЖС-17,37куб.м. ГБУЗ МО «ЗЦРБ»-0,29куб.м; МБУ «Мендюкинский сельский дом культуры»-2,95куб.м</t>
  </si>
  <si>
    <t>b0ac26e4-0be9-4a70-aad5-4b7cf74823a3</t>
  </si>
  <si>
    <t>г.о. Зарайск, д. Мендюкино, д. 3</t>
  </si>
  <si>
    <t>54.7758369445801</t>
  </si>
  <si>
    <t>38.8518295288086</t>
  </si>
  <si>
    <t xml:space="preserve">ИЖС-28,78куб.м. </t>
  </si>
  <si>
    <t>7195a436-d456-49f7-bceb-58f1dae76526</t>
  </si>
  <si>
    <t>г.о. Зарайск, д. Мендюкино, д. 39</t>
  </si>
  <si>
    <t>54.7796478271484</t>
  </si>
  <si>
    <t>38.8539161682129</t>
  </si>
  <si>
    <t xml:space="preserve">ИЖС-28,97куб.м. </t>
  </si>
  <si>
    <t>a1ebc5b5-3cf9-48a4-b968-0c71cd536044</t>
  </si>
  <si>
    <t>г.о. Зарайск, д. Мендюкино, ул. Молодежная, кп 2</t>
  </si>
  <si>
    <t>54.7754821777344</t>
  </si>
  <si>
    <t>38.8338317871094</t>
  </si>
  <si>
    <t xml:space="preserve">ИЖС-33,99куб.м. </t>
  </si>
  <si>
    <t>63fd0721-40a7-4f1c-a2cf-598f62ffa768</t>
  </si>
  <si>
    <t>г.о. Зарайск, д. Мендюкино, ул. Новый поселок</t>
  </si>
  <si>
    <t>54.7690696716309</t>
  </si>
  <si>
    <t>38.8404197692871</t>
  </si>
  <si>
    <t>35703268-4aa8-4004-b5a5-2a2d41ea2fc9</t>
  </si>
  <si>
    <t>г.о. Зарайск, д. Михалево (на вьезде в деревню)</t>
  </si>
  <si>
    <t>54.6665115356445</t>
  </si>
  <si>
    <t>38.7768745422363</t>
  </si>
  <si>
    <t>d8535130-4f3b-4d0f-933f-a342e9ba4f99</t>
  </si>
  <si>
    <t>г.о. Зарайск, д. Мишино, у остановки</t>
  </si>
  <si>
    <t>54.7291564941406</t>
  </si>
  <si>
    <t>38.9606971740723</t>
  </si>
  <si>
    <t>ИЖС-14,96куб.м. МЕСТНАЯ РЕЛИГИОЗНАЯ ОРГАНИЗАЦИЯ ПРАВОСЛАВНЫЙ ПРИХОД НИКОЛЬСКОГО ХРАМА Д. МИШИНО ЗАРАЙСКОГО РАЙОНА МО-0,07куб.м; МЕСТНАЯ РЕЛИГИОЗНАЯ ОРГАНИЗАЦИЯ ПРАВОСЛАВНЫЙ ПРИХОД ПОКРОВСКОГО ХРАМА Д. ЗЛЫХИНО ЗАРАЙСКОГО РАЙОНА-0,07куб.м</t>
  </si>
  <si>
    <t>599eeceb-ab7f-4ad9-9910-68ea710bf598</t>
  </si>
  <si>
    <t>г.о. Зарайск, д. Моногарово (1 въезд поворот к зданию СДК)</t>
  </si>
  <si>
    <t>54.7001037597656</t>
  </si>
  <si>
    <t>38.7439460754395</t>
  </si>
  <si>
    <t xml:space="preserve">ИЖС-11,39куб.м. </t>
  </si>
  <si>
    <t>0f99b12f-0af7-4527-a273-77bebbc21199</t>
  </si>
  <si>
    <t>г.о. Зарайск, д. Моногарово, д. 17</t>
  </si>
  <si>
    <t>54.6950607299805</t>
  </si>
  <si>
    <t>38.7409553527832</t>
  </si>
  <si>
    <t xml:space="preserve">ИЖС-15,37куб.м. </t>
  </si>
  <si>
    <t>72a4289d-cae6-4fac-b3bf-7b0899dd4c57</t>
  </si>
  <si>
    <t>г.о. Зарайск, д. Моногарово, у храма</t>
  </si>
  <si>
    <t>54.7009315490723</t>
  </si>
  <si>
    <t>38.7385597229004</t>
  </si>
  <si>
    <t>ИЖС-17,11куб.м. МЕСТНАЯ РЕЛИГИОЗНАЯ ОРГАНИЗАЦИЯ ПРАВОСЛАВНЫЙ ПРИХОД СВЯТО-ДУХОВСКОГО ХРАМА Д. МОНОГАРОВО ЗАРАЙСКОГО-0,07куб.м</t>
  </si>
  <si>
    <t>2ad6942c-66d8-4215-ac4d-a510ec9c9d0f</t>
  </si>
  <si>
    <t>г.о. Зарайск, д. Назарьево</t>
  </si>
  <si>
    <t>54.6543426513672</t>
  </si>
  <si>
    <t>38.7171592712402</t>
  </si>
  <si>
    <t xml:space="preserve">ИЖС-19куб.м. </t>
  </si>
  <si>
    <t>421a09c3-32e5-4438-9bde-7e13e555d52b</t>
  </si>
  <si>
    <t>г.о. Зарайск, д. Новая Деревня, д. 13</t>
  </si>
  <si>
    <t>54.7448959350586</t>
  </si>
  <si>
    <t>38.8416519165039</t>
  </si>
  <si>
    <t xml:space="preserve">ИЖС-11,27куб.м. </t>
  </si>
  <si>
    <t>038ef6b1-1f35-4a57-bb1f-7d05c89d0be3</t>
  </si>
  <si>
    <t>г.о. Зарайск, д. Новоселки, д. 19,разворот в конце деревни</t>
  </si>
  <si>
    <t>54.8158226013184</t>
  </si>
  <si>
    <t>38.9096755981445</t>
  </si>
  <si>
    <t xml:space="preserve">ИЖС-21,98куб.м. </t>
  </si>
  <si>
    <t>a03bcd1e-52fb-4ee9-86a4-51bfc5f858ee</t>
  </si>
  <si>
    <t>г.о. Зарайск, д. Новоселки, д. 33</t>
  </si>
  <si>
    <t>54.8185997009277</t>
  </si>
  <si>
    <t>38.9101867675781</t>
  </si>
  <si>
    <t xml:space="preserve">ИЖС-23,3куб.м. </t>
  </si>
  <si>
    <t>02dea967-32bd-4c0e-828a-10b62b1490e7</t>
  </si>
  <si>
    <t>г.о. Зарайск, д. Новоселки, д. 57 (99)</t>
  </si>
  <si>
    <t>54.8207206726074</t>
  </si>
  <si>
    <t>38.9100265502930</t>
  </si>
  <si>
    <t>ИЖС-29,85куб.м. ПОЧТА РОССИИ АО-0,09куб.м</t>
  </si>
  <si>
    <t>0d7a41c8-613e-4603-9d9c-d40de86021e8</t>
  </si>
  <si>
    <t>г.о. Зарайск, д. Новоселки, д. 85</t>
  </si>
  <si>
    <t>54.8190879821777</t>
  </si>
  <si>
    <t>38.9068107604980</t>
  </si>
  <si>
    <t>ИЖС-21,77куб.м. МБУ «Ерновский сельский дом культуры»-0,7куб.м</t>
  </si>
  <si>
    <t>83a1bace-a37f-4967-861d-8c02bbda5337</t>
  </si>
  <si>
    <t>г.о. Зарайск, д. Овечкино, д. 50, рядом с сельским клубом</t>
  </si>
  <si>
    <t>54.7977867126465</t>
  </si>
  <si>
    <t>38.8439674377441</t>
  </si>
  <si>
    <t>ИЖС-24,86куб.м. МБУ «Мендюкинский сельский дом культуры»-0,14куб.м</t>
  </si>
  <si>
    <t>f856bdfe-55ac-4541-a7c9-00634db48088</t>
  </si>
  <si>
    <t>г.о. Зарайск, д. Озерки ИЖС</t>
  </si>
  <si>
    <t>54.7486686706543</t>
  </si>
  <si>
    <t>38.7923469543457</t>
  </si>
  <si>
    <t xml:space="preserve">ИЖС-2,51куб.м. </t>
  </si>
  <si>
    <t>79833980-e4f7-45aa-b23d-989a422dfdc8</t>
  </si>
  <si>
    <t>г.о. Зарайск, д. Печерники, ул. Дачная</t>
  </si>
  <si>
    <t>54.6582183837891</t>
  </si>
  <si>
    <t>39.2255668640137</t>
  </si>
  <si>
    <t xml:space="preserve">ИЖС-17,4куб.м. </t>
  </si>
  <si>
    <t>92aa4ce7-0a92-482b-8ce7-48d278ced7c3</t>
  </si>
  <si>
    <t>г.о. Зарайск, д. Печерники, ул. Хряева</t>
  </si>
  <si>
    <t>54.6578407287598</t>
  </si>
  <si>
    <t>39.2212638854980</t>
  </si>
  <si>
    <t xml:space="preserve">ИЖС-18,42куб.м. </t>
  </si>
  <si>
    <t>5f01adfb-4095-4dba-968e-65d88eb55358</t>
  </si>
  <si>
    <t>г.о. Зарайск, д. Потлово</t>
  </si>
  <si>
    <t>54.7688713073730</t>
  </si>
  <si>
    <t>38.7749786376953</t>
  </si>
  <si>
    <t xml:space="preserve">ИЖС-13,88куб.м. </t>
  </si>
  <si>
    <t>0aa6de59-5944-4054-9933-6be3d5cab0f2</t>
  </si>
  <si>
    <t>г.о. Зарайск, д. Пронюхлово</t>
  </si>
  <si>
    <t>54.7831039428711</t>
  </si>
  <si>
    <t>38.8030700683594</t>
  </si>
  <si>
    <t xml:space="preserve">ИЖС-20,5куб.м. </t>
  </si>
  <si>
    <t>e4786508-faef-4f5e-986e-89e1c39d62f0</t>
  </si>
  <si>
    <t>г.о. Зарайск, д. Протекино, д. 55</t>
  </si>
  <si>
    <t>54.8239135742188</t>
  </si>
  <si>
    <t>38.8015518188477</t>
  </si>
  <si>
    <t>ИЖС-26,22куб.м. ПОЧТА РОССИИ АО-0,09куб.м</t>
  </si>
  <si>
    <t>43aea44a-4b27-40e3-a7d8-d40049eb0ca0</t>
  </si>
  <si>
    <t>г.о. Зарайск, д. Протекино, д. 62</t>
  </si>
  <si>
    <t>54.8258361816406</t>
  </si>
  <si>
    <t>38.8042602539062</t>
  </si>
  <si>
    <t xml:space="preserve">ИЖС-23,88куб.м. </t>
  </si>
  <si>
    <t>40b1cea0-e491-43e0-9b6f-73fb52893ee5</t>
  </si>
  <si>
    <t>г.о. Зарайск, д. Прудки (КП 1)</t>
  </si>
  <si>
    <t>54.8431892395020</t>
  </si>
  <si>
    <t>38.9617767333984</t>
  </si>
  <si>
    <t>d1dbe81d-a70f-4f47-b56c-39140bdd1a3d</t>
  </si>
  <si>
    <t>г.о. Зарайск, д. Прудки (КП 2)</t>
  </si>
  <si>
    <t>54.8401374816895</t>
  </si>
  <si>
    <t>38.9742202758789</t>
  </si>
  <si>
    <t>868da3dc-08a7-4298-bbc0-1f2c1330af5f</t>
  </si>
  <si>
    <t>г.о. Зарайск, д. Пыжово, д. 12</t>
  </si>
  <si>
    <t>54.6880836486816</t>
  </si>
  <si>
    <t>38.9315948486328</t>
  </si>
  <si>
    <t xml:space="preserve">ИЖС-22,33куб.м. </t>
  </si>
  <si>
    <t>5312f91c-c71c-4312-8722-65e2e00ca15c</t>
  </si>
  <si>
    <t>г.о. Зарайск, д. Пыжово, д. 42</t>
  </si>
  <si>
    <t>54.6843223571777</t>
  </si>
  <si>
    <t>38.9326629638672</t>
  </si>
  <si>
    <t xml:space="preserve">ИЖС-18,46куб.м. </t>
  </si>
  <si>
    <t>0d4ff9cd-258d-4bab-999d-3177d0b6c8eb</t>
  </si>
  <si>
    <t>г.о. Зарайск, д. Рассохты, первая КП</t>
  </si>
  <si>
    <t>54.7961120605469</t>
  </si>
  <si>
    <t>39.0884475708008</t>
  </si>
  <si>
    <t xml:space="preserve">ИЖС-16,17куб.м. </t>
  </si>
  <si>
    <t>f1040333-75dd-4539-ad4f-5519fe2f83fa</t>
  </si>
  <si>
    <t>г.о. Зарайск, д. Рожново, у остановки</t>
  </si>
  <si>
    <t>54.6799240112305</t>
  </si>
  <si>
    <t>39.1425781250000</t>
  </si>
  <si>
    <t xml:space="preserve">ИЖС-29,99куб.м. </t>
  </si>
  <si>
    <t>92519087-db53-49cb-a661-d78eba104092</t>
  </si>
  <si>
    <t>г.о. Зарайск, д. Саблино, ул. Центральная</t>
  </si>
  <si>
    <t>54.7226753234863</t>
  </si>
  <si>
    <t>39.1439476013184</t>
  </si>
  <si>
    <t xml:space="preserve">ИЖС-11,87куб.м. </t>
  </si>
  <si>
    <t>7f46d6e2-ecf3-4654-9e26-88a6e780ae69</t>
  </si>
  <si>
    <t>г.о. Зарайск, д. Саблино, ул. Школьная</t>
  </si>
  <si>
    <t>54.7183189392090</t>
  </si>
  <si>
    <t>39.1531677246094</t>
  </si>
  <si>
    <t xml:space="preserve">ИЖС-19,18куб.м. </t>
  </si>
  <si>
    <t>8a062fb9-32cc-4028-ad6d-5961170c7eaa</t>
  </si>
  <si>
    <t>г.о. Зарайск, д. Солопово, ул. Лесная д. 38-40</t>
  </si>
  <si>
    <t>54.7877388000488</t>
  </si>
  <si>
    <t>38.7286148071289</t>
  </si>
  <si>
    <t xml:space="preserve">ИЖС-6,99куб.м. </t>
  </si>
  <si>
    <t>fb78a841-5e07-4387-95f8-34e4788c5564</t>
  </si>
  <si>
    <t>г.о. Зарайск, д. Солопово, ул. Лесная, д. 7</t>
  </si>
  <si>
    <t>54.7840576171875</t>
  </si>
  <si>
    <t>38.7268714904785</t>
  </si>
  <si>
    <t>ИЖС-18,36куб.м. МБУ «Мендюкинский сельский дом культуры»-0,14куб.м</t>
  </si>
  <si>
    <t>3c1aeafa-134f-486b-be9b-349e780a7f20</t>
  </si>
  <si>
    <t>г.о. Зарайск, д. Староподастрамьево</t>
  </si>
  <si>
    <t>54.7580490112305</t>
  </si>
  <si>
    <t>39.1384468078613</t>
  </si>
  <si>
    <t>4c403279-f4dc-446e-bb20-6a49b7adf462</t>
  </si>
  <si>
    <t>г.о. Зарайск, д. Староподгороднее</t>
  </si>
  <si>
    <t>54.7645416259766</t>
  </si>
  <si>
    <t>38.9537353515625</t>
  </si>
  <si>
    <t xml:space="preserve">ИЖС-25,37куб.м. </t>
  </si>
  <si>
    <t>865cdc73-40b1-4109-8925-32a8140d6f6f</t>
  </si>
  <si>
    <t>г.о. Зарайск, д. Струпна</t>
  </si>
  <si>
    <t>54.7099800109863</t>
  </si>
  <si>
    <t>38.8060417175293</t>
  </si>
  <si>
    <t>ИЖС-17,11куб.м. МЕСТНАЯ РЕЛИГИОЗНАЯ ОРГАНИЗАЦИЯ ПРАВОСЛАВНЫЙ ПРИХОД ПРЕОБРАЖЕНСКОГО  ХРАМА Д. СТРУПНА ЗАРАЙСКОГО РАЙ-0,07куб.м</t>
  </si>
  <si>
    <t>d49992e5-8231-425d-ae68-bf6562ffb389</t>
  </si>
  <si>
    <t>г.о. Зарайск, д. Титово</t>
  </si>
  <si>
    <t>54.8553657531738</t>
  </si>
  <si>
    <t>38.8462028503418</t>
  </si>
  <si>
    <t xml:space="preserve">ИЖС-25,6куб.м. </t>
  </si>
  <si>
    <t>9d2b3d7f-9e88-4286-abb2-97ac4392b1a2</t>
  </si>
  <si>
    <t>г.о. Зарайск, д. Трасна</t>
  </si>
  <si>
    <t>54.7572975158691</t>
  </si>
  <si>
    <t>38.6887092590332</t>
  </si>
  <si>
    <t xml:space="preserve">ИЖС-10,12куб.м. </t>
  </si>
  <si>
    <t>53d7f3b6-e806-49dc-89d1-a856ee3d2c72</t>
  </si>
  <si>
    <t>г.о. Зарайск, д. Трегубово</t>
  </si>
  <si>
    <t>54.6849822998047</t>
  </si>
  <si>
    <t>38.7945442199707</t>
  </si>
  <si>
    <t xml:space="preserve">ИЖС-22,81куб.м. </t>
  </si>
  <si>
    <t>8eb9db22-e86c-48a8-99e7-4a4d30232a2e</t>
  </si>
  <si>
    <t>г.о. Зарайск, д. Федоровка</t>
  </si>
  <si>
    <t>54.6747398376465</t>
  </si>
  <si>
    <t>38.5988006591797</t>
  </si>
  <si>
    <t xml:space="preserve">ИЖС-19,91куб.м. </t>
  </si>
  <si>
    <t>86bbbd42-0a8f-4145-9f8a-d5ec04b981a9</t>
  </si>
  <si>
    <t>г.о. Зарайск, д. Филипповичи</t>
  </si>
  <si>
    <t>54.7724647521973</t>
  </si>
  <si>
    <t>39.2079658508301</t>
  </si>
  <si>
    <t>641d66bb-44e2-4bcd-87d2-57f23553cb1a</t>
  </si>
  <si>
    <t>г.о. Зарайск, д. Хлопово, д. 26</t>
  </si>
  <si>
    <t>54.6611938476562</t>
  </si>
  <si>
    <t>38.6699485778809</t>
  </si>
  <si>
    <t xml:space="preserve">ИЖС-19,98куб.м. </t>
  </si>
  <si>
    <t>170b4556-6a7c-4082-a9b5-d25bce2a9640</t>
  </si>
  <si>
    <t>г.о. Зарайск, д. Хлопово, д. 37</t>
  </si>
  <si>
    <t>54.6580352783203</t>
  </si>
  <si>
    <t>38.6649665832520</t>
  </si>
  <si>
    <t xml:space="preserve">ИЖС-37,42куб.м. </t>
  </si>
  <si>
    <t>1e4c457a-73a6-4d38-9c12-412620cdd9cb</t>
  </si>
  <si>
    <t>г.о. Зарайск, д. Чернево, ул. Лесная, д. 44 (у храма)</t>
  </si>
  <si>
    <t>54.7231521606445</t>
  </si>
  <si>
    <t>38.5847930908203</t>
  </si>
  <si>
    <t xml:space="preserve">ИЖС-7,79куб.м. </t>
  </si>
  <si>
    <t>bdfdbdec-4d2d-41e9-b319-695c0885fe7f</t>
  </si>
  <si>
    <t>г.о. Зарайск, д. Чернево, ул. Лесная, д. 6</t>
  </si>
  <si>
    <t>54.7224578857422</t>
  </si>
  <si>
    <t>38.5930252075195</t>
  </si>
  <si>
    <t xml:space="preserve">ИЖС-10,69куб.м. </t>
  </si>
  <si>
    <t>cf74f8b0-be39-412a-994d-fe66b5a4e120</t>
  </si>
  <si>
    <t>г.о. Зарайск, д. Чирьяково</t>
  </si>
  <si>
    <t>54.7621002197266</t>
  </si>
  <si>
    <t>39.1304244995117</t>
  </si>
  <si>
    <t xml:space="preserve">ИЖС-13,75куб.м. </t>
  </si>
  <si>
    <t>f5786250-3437-403a-bfe8-473f67d831e7</t>
  </si>
  <si>
    <t>г.о. Зарайск, д. Чулки-Соколово, ул. Новый поселок</t>
  </si>
  <si>
    <t>54.7379722595215</t>
  </si>
  <si>
    <t>38.8362541198730</t>
  </si>
  <si>
    <t xml:space="preserve">ИЖС-20,33куб.м. </t>
  </si>
  <si>
    <t>db5a1680-a5d6-406c-adf1-6fa23edece66</t>
  </si>
  <si>
    <t>г.о. Зарайск, д.Авдеево, новая деревня</t>
  </si>
  <si>
    <t>54.6749191284180</t>
  </si>
  <si>
    <t>38.8855667114258</t>
  </si>
  <si>
    <t xml:space="preserve">ИЖС-3,81куб.м. </t>
  </si>
  <si>
    <t>889bde04-7e99-4971-a546-933a7899ee8c</t>
  </si>
  <si>
    <t>г.о. Зарайск, д.Бровкино</t>
  </si>
  <si>
    <t>54.7141036987305</t>
  </si>
  <si>
    <t>38.6852035522461</t>
  </si>
  <si>
    <t xml:space="preserve">ИЖС-7,84куб.м. </t>
  </si>
  <si>
    <t>81f2e2c1-9d7f-4d83-9c04-493a611bc4ab</t>
  </si>
  <si>
    <t>г.о. Зарайск, д.Ильицино</t>
  </si>
  <si>
    <t>54.7612228393555</t>
  </si>
  <si>
    <t>39.0584487915039</t>
  </si>
  <si>
    <t xml:space="preserve">ИЖС-20,11куб.м. </t>
  </si>
  <si>
    <t>3e3d2383-985f-4dae-94a1-552d43594506</t>
  </si>
  <si>
    <t>г.о. Зарайск, д.Мендюкино, ул. Молодежная (1 КП)</t>
  </si>
  <si>
    <t>54.7713356018066</t>
  </si>
  <si>
    <t>38.8406486511230</t>
  </si>
  <si>
    <t xml:space="preserve">ИЖС-27,96куб.м. </t>
  </si>
  <si>
    <t>e11ee1ee-9ed3-498d-a8c5-4f1dbab4433c</t>
  </si>
  <si>
    <t>г.о. Зарайск, д.Перепелкино</t>
  </si>
  <si>
    <t>54.6506881713867</t>
  </si>
  <si>
    <t>38.9212684631348</t>
  </si>
  <si>
    <t xml:space="preserve">ИЖС-12,02куб.м. </t>
  </si>
  <si>
    <t>0473492a-3f22-4af2-ad45-b6e297229acc</t>
  </si>
  <si>
    <t>г.о. Зарайск, Куково, 14б</t>
  </si>
  <si>
    <t>54.6898727416992</t>
  </si>
  <si>
    <t>38.8460960388184</t>
  </si>
  <si>
    <t>805b36e2-8e11-4201-8eae-03f67edf4588</t>
  </si>
  <si>
    <t>г.о. Зарайск, Пенкино (КП 2)</t>
  </si>
  <si>
    <t>54.8438148498535</t>
  </si>
  <si>
    <t>38.8867988586426</t>
  </si>
  <si>
    <t xml:space="preserve">ИЖС-16,67куб.м. </t>
  </si>
  <si>
    <t>d42d7173-a089-4068-bf5d-cfb4af1e821f</t>
  </si>
  <si>
    <t>г.о. Зарайск, пос. 2 отделения совхоза Зарайский, ул. Гагарина, д. 2</t>
  </si>
  <si>
    <t>54.6825981140137</t>
  </si>
  <si>
    <t>38.9703826904297</t>
  </si>
  <si>
    <t>ИЖС-23,84куб.м. Туркова Виктория Евгеньевна-0,36куб.м</t>
  </si>
  <si>
    <t>85982983-915a-43c0-ac2b-d7df1c440dc8</t>
  </si>
  <si>
    <t>г.о. Зарайск, пос. Зарайский (сараи)</t>
  </si>
  <si>
    <t>54.6909179687500</t>
  </si>
  <si>
    <t>39.0072021484375</t>
  </si>
  <si>
    <t>ИЖС-52,58куб.м. МБУ «ДК поселка «Зарайский»-1,16куб.м</t>
  </si>
  <si>
    <t>0102feab-2f7e-44f9-87e4-61c0def4cd4c</t>
  </si>
  <si>
    <t>г.о. Зарайск, пос. Масловский, ул. Садовая, д. 8</t>
  </si>
  <si>
    <t>54.7769699096680</t>
  </si>
  <si>
    <t>39.0780639648438</t>
  </si>
  <si>
    <t xml:space="preserve">ИЖС-27,67куб.м. </t>
  </si>
  <si>
    <t>3890b165-821a-4b75-8a5d-322a4c35ce92</t>
  </si>
  <si>
    <t>г.о. Зарайск, пос. Масловский, ул. Шоссейная, д. 4</t>
  </si>
  <si>
    <t>39.0845603942871</t>
  </si>
  <si>
    <t>ИЖС-23,85куб.м. ПОЧТА РОССИИ АО-0,14куб.м</t>
  </si>
  <si>
    <t>f2e96f5b-cf92-46c1-820a-454192fb887c</t>
  </si>
  <si>
    <t>г.о. Зарайск, пос. Центральной усадьбы 40 лет Октября, ул. Советская (у котельной)</t>
  </si>
  <si>
    <t>54.7782440185547</t>
  </si>
  <si>
    <t>38.6416664123535</t>
  </si>
  <si>
    <t xml:space="preserve">ИЖС-22,28куб.м. </t>
  </si>
  <si>
    <t>3f403fdf-c1b3-491b-8936-9133a48fcb00</t>
  </si>
  <si>
    <t>г.о. Зарайск, пос. Центральной усадьбы совхоза 40 лет Октября, ул. Дачная, д. 12</t>
  </si>
  <si>
    <t>54.7805633544922</t>
  </si>
  <si>
    <t>38.6405220031738</t>
  </si>
  <si>
    <t>ИЖС-34,57куб.м. МЕСТНАЯ РЕЛИГИОЗНАЯ ОРГАНИЗАЦИЯ ПРАВОСЛАВНЫЙ ПРИХОД ПОКРОВСКОГО ХРАМА С. ЗИМЁНКИ ЗАРАЙСКОГО РАЙОНА М-0,07куб.м</t>
  </si>
  <si>
    <t>ede24e85-1023-49b1-88cf-e93c0b292fc7</t>
  </si>
  <si>
    <t>г.о. Зарайск, пос. Центральной усадьбы совхоза 40 лет Октября, ул. Садовая, д. 11 (столовая)</t>
  </si>
  <si>
    <t>54.7759857177734</t>
  </si>
  <si>
    <t>38.6374702453613</t>
  </si>
  <si>
    <t xml:space="preserve">ИЖС-44,24куб.м. </t>
  </si>
  <si>
    <t>a41e3ea1-ba7c-4f56-b58b-11da3bef4591</t>
  </si>
  <si>
    <t>г.о. Зарайск, пос. Центральной усадьбы совхоза 40 лет Октября, ул. Садовая, д. 14</t>
  </si>
  <si>
    <t>54.7745285034180</t>
  </si>
  <si>
    <t>38.6381645202637</t>
  </si>
  <si>
    <t>ИЖС-9,7куб.м. ГБУЗ МО «ЗЦРБ»-0,36куб.м</t>
  </si>
  <si>
    <t>f02baa42-b8f6-4e35-9cb7-5e0cb8955c08</t>
  </si>
  <si>
    <t>г.о. Зарайск, с. Алтухово (Каринское ТО)</t>
  </si>
  <si>
    <t>54.6426734924316</t>
  </si>
  <si>
    <t>38.9239044189453</t>
  </si>
  <si>
    <t>ИЖС-13,72куб.м. МЕСТНАЯ РЕЛИГИОЗНАЯ ОРГАНИЗАЦИЯ ПРАВОСЛАВНЫЙ ПРИХОД БОГОРОДИЦЕРОЖДЕСТВЕНСКОГО ХРАМА Д. ПРУДКИ ЗАРАЙС-0,07куб.м</t>
  </si>
  <si>
    <t>533f4aa8-cf34-4263-8e4e-312ffa259388</t>
  </si>
  <si>
    <t>г.о. Зарайск, с. Макеево ул. Лесная д.85</t>
  </si>
  <si>
    <t>54.6697196960449</t>
  </si>
  <si>
    <t>39.1096534729004</t>
  </si>
  <si>
    <t xml:space="preserve">ИЖС-25,93куб.м. </t>
  </si>
  <si>
    <t>58e81976-85a8-4765-81a5-3a062d6b26c0</t>
  </si>
  <si>
    <t>г.о. Зарайск, с. Макеево, ул.Прудная (со стороны ул. Центральная)</t>
  </si>
  <si>
    <t>54.6689796447754</t>
  </si>
  <si>
    <t>39.1213073730469</t>
  </si>
  <si>
    <t xml:space="preserve">ИЖС-25,38куб.м. </t>
  </si>
  <si>
    <t>46a47dba-385b-4558-97c6-0bbd3680f4fb</t>
  </si>
  <si>
    <t>г.о. Зарайск, с. Чулки-Соколово, Микрорайон, д. 5</t>
  </si>
  <si>
    <t>54.7338867187500</t>
  </si>
  <si>
    <t>38.8370208740234</t>
  </si>
  <si>
    <t>ИЖС-35,09куб.м. МБУ «Чулковский СДК»-1,98куб.м; ПОЧТА РОССИИ АО-0,15куб.м; СТД-3,1куб.м</t>
  </si>
  <si>
    <t>711e857e-6f69-4fc0-be40-3e3cac50d5fa</t>
  </si>
  <si>
    <t>г.о. Зарайск, с. Чулки-Соколово, ул. Садовая, д. 2</t>
  </si>
  <si>
    <t>54.7329368591309</t>
  </si>
  <si>
    <t>38.8394966125488</t>
  </si>
  <si>
    <t xml:space="preserve">ИЖС-27,04куб.м. </t>
  </si>
  <si>
    <t>361ac7eb-4c6f-469d-a836-c73928f2f350</t>
  </si>
  <si>
    <t>г.о. Зарайск,д. Алтухово (Гололобовское ТО)</t>
  </si>
  <si>
    <t>54.8422508239746</t>
  </si>
  <si>
    <t>38.9457893371582</t>
  </si>
  <si>
    <t xml:space="preserve">ИЖС-39,14куб.м. </t>
  </si>
  <si>
    <t>fed62575-b8e6-463f-977d-c3b7490bfe8b</t>
  </si>
  <si>
    <t>г.о. Зарайск,д. Верхнее Маслово у СДК</t>
  </si>
  <si>
    <t>54.7393341064453</t>
  </si>
  <si>
    <t>38.7631454467773</t>
  </si>
  <si>
    <t xml:space="preserve">ИЖС-39,19куб.м. </t>
  </si>
  <si>
    <t>84d9ba0c-f5e3-4ada-ad30-7dcd643287a7</t>
  </si>
  <si>
    <t>г.о. Зарайск,д. Злыхино</t>
  </si>
  <si>
    <t>54.7321777343750</t>
  </si>
  <si>
    <t>38.9768867492676</t>
  </si>
  <si>
    <t>8bcb51e8-f452-4dd0-9ed7-32c4d791fc57</t>
  </si>
  <si>
    <t>г.о. Зарайск,д. Крутой Верх</t>
  </si>
  <si>
    <t>54.7023735046387</t>
  </si>
  <si>
    <t>39.0780830383301</t>
  </si>
  <si>
    <t xml:space="preserve">ИЖС-14,54куб.м. </t>
  </si>
  <si>
    <t>7b5a8f46-c55d-44c4-85c6-9a00081da84c</t>
  </si>
  <si>
    <t>г.о. Зарайск,д. Летуново ,ул. Буньковская</t>
  </si>
  <si>
    <t>54.7047500610352</t>
  </si>
  <si>
    <t>39.0212211608887</t>
  </si>
  <si>
    <t xml:space="preserve">ИЖС-33,47куб.м. </t>
  </si>
  <si>
    <t>839c3f90-345d-4011-810e-fb28bdc9de89</t>
  </si>
  <si>
    <t>г.о. Зарайск,д. Ратькино</t>
  </si>
  <si>
    <t>54.8485298156738</t>
  </si>
  <si>
    <t>38.7943382263184</t>
  </si>
  <si>
    <t>30d97c4d-8d6e-4e76-bc27-3ed95ddaab4c</t>
  </si>
  <si>
    <t>г.о. Зарайск,д. Рожново д.5</t>
  </si>
  <si>
    <t>54.6775703430176</t>
  </si>
  <si>
    <t>39.1426773071289</t>
  </si>
  <si>
    <t>7c14ed41-5ec4-4ce9-894a-2b9ee8431503</t>
  </si>
  <si>
    <t>г.о. Зарайск,д.Чернево</t>
  </si>
  <si>
    <t>54.7223701477051</t>
  </si>
  <si>
    <t>38.5968093872070</t>
  </si>
  <si>
    <t xml:space="preserve">ИЖС-19,04куб.м. </t>
  </si>
  <si>
    <t>9e0af3b3-a629-4f8b-b9ad-ccfd6f7b35ed</t>
  </si>
  <si>
    <t>г.о. Зарайск,пос.отд. 2 с/х Зарайский ул. Зеленая</t>
  </si>
  <si>
    <t>54.6824531555176</t>
  </si>
  <si>
    <t>38.9775161743164</t>
  </si>
  <si>
    <t>53221096-98e1-4251-a465-008960a03e71</t>
  </si>
  <si>
    <t>г.о. Зарайск,с. Макеево, ул. Прудная( со стороны ул. Школьная)</t>
  </si>
  <si>
    <t>54.6672058105469</t>
  </si>
  <si>
    <t>39.1249923706055</t>
  </si>
  <si>
    <t xml:space="preserve">ИЖС-22,66куб.м. </t>
  </si>
  <si>
    <t>264e0de4-933a-461f-83c3-b5ed02b16ecf</t>
  </si>
  <si>
    <t>г.о. Зарайск,с. Макеево, ул. Садовая (у ПОса)</t>
  </si>
  <si>
    <t>54.6673507690430</t>
  </si>
  <si>
    <t>39.1314811706543</t>
  </si>
  <si>
    <t xml:space="preserve">ИЖС-17,36куб.м. </t>
  </si>
  <si>
    <t>f4d0e761-568c-4dd5-b22b-e45598a477a4</t>
  </si>
  <si>
    <t>г.о.Зарайск, д. Большое Еськино</t>
  </si>
  <si>
    <t>54.7953681945801</t>
  </si>
  <si>
    <t>38.9842872619629</t>
  </si>
  <si>
    <t>fd289f76-492f-45fd-be62-c4ec6ecbcb00</t>
  </si>
  <si>
    <t>г.о.Зарайск, д. Кобылье д.20а</t>
  </si>
  <si>
    <t>54.6251258850098</t>
  </si>
  <si>
    <t>38.9734649658203</t>
  </si>
  <si>
    <t xml:space="preserve">ИЖС-32,77куб.м. </t>
  </si>
  <si>
    <t>3443972b-9e34-4438-bc5c-871a5ad50c88</t>
  </si>
  <si>
    <t>г.о.Зарайск, д. Кобылье, д.9</t>
  </si>
  <si>
    <t>54.6343765258789</t>
  </si>
  <si>
    <t>38.9675216674805</t>
  </si>
  <si>
    <t xml:space="preserve">ИЖС-25,12куб.м. </t>
  </si>
  <si>
    <t>03acc481-1485-4574-87d5-55b6e12c7fc7</t>
  </si>
  <si>
    <t>г.о.Зарайск, д. Комово на въезде</t>
  </si>
  <si>
    <t>54.6676063537598</t>
  </si>
  <si>
    <t>38.6857070922852</t>
  </si>
  <si>
    <t xml:space="preserve">ИЖС-10,4куб.м. </t>
  </si>
  <si>
    <t>e2d21b9e-edc6-470a-b73a-04844d76a062</t>
  </si>
  <si>
    <t>г.о.Зарайск, д. Малые Белыничи (2 КП)</t>
  </si>
  <si>
    <t>54.6527519226074</t>
  </si>
  <si>
    <t>38.8077812194824</t>
  </si>
  <si>
    <t xml:space="preserve">ИЖС-25,96куб.м. </t>
  </si>
  <si>
    <t>fdf3ebc6-8693-4cfc-bb69-725018f50ae8</t>
  </si>
  <si>
    <t>г.о.Зарайск, д. Широбоково</t>
  </si>
  <si>
    <t>54.8538131713867</t>
  </si>
  <si>
    <t>38.8714599609375</t>
  </si>
  <si>
    <t xml:space="preserve">ИЖС-16,82куб.м. </t>
  </si>
  <si>
    <t>2f36f43a-0a5d-4581-a7bc-ca83e286cb3f</t>
  </si>
  <si>
    <t>г.о.Зарайск, д. Широбоково д.48</t>
  </si>
  <si>
    <t>54.8510742187500</t>
  </si>
  <si>
    <t>38.8840675354004</t>
  </si>
  <si>
    <t xml:space="preserve">ИЖС-21,57куб.м. </t>
  </si>
  <si>
    <t>ee265221-cc71-4642-b964-cedf1ea181d4</t>
  </si>
  <si>
    <t>г.о.Зарайск, д.Алтухово, у д. 4 (Каринское ТО)</t>
  </si>
  <si>
    <t>54.6401062011719</t>
  </si>
  <si>
    <t>38.9284934997559</t>
  </si>
  <si>
    <t>020d4192-fa5d-4df1-90e8-46726daffef9</t>
  </si>
  <si>
    <t>г.о.Зарайск, д.Жемово</t>
  </si>
  <si>
    <t>54.7452812194824</t>
  </si>
  <si>
    <t>38.8201599121094</t>
  </si>
  <si>
    <t xml:space="preserve">ИЖС-9,31куб.м. </t>
  </si>
  <si>
    <t>b4b546ff-1de0-4b26-a55b-80f94e3bc64b</t>
  </si>
  <si>
    <t>г.о.Зарайск, д.Якшино</t>
  </si>
  <si>
    <t>54.7514152526855</t>
  </si>
  <si>
    <t>38.8296585083008</t>
  </si>
  <si>
    <t xml:space="preserve">ИЖС-12,2куб.м. </t>
  </si>
  <si>
    <t>a21c286a-bead-4485-a3de-18cf03a9eb33</t>
  </si>
  <si>
    <t>г.о.Зарайск,д.Латыгори</t>
  </si>
  <si>
    <t>54.6915168762207</t>
  </si>
  <si>
    <t>39.2220230102539</t>
  </si>
  <si>
    <t>7df9c4a6-7a0f-4bdb-b1cd-4cc5f640fd59</t>
  </si>
  <si>
    <t>г.о. Зарайск, д. Авдеево, д. 26</t>
  </si>
  <si>
    <t>54.6709556579590</t>
  </si>
  <si>
    <t>38.8854522705078</t>
  </si>
  <si>
    <t>МКД</t>
  </si>
  <si>
    <t>МКД-24,13куб.м. МБУ «ДК поселка «Зарайский»-1,51куб.м</t>
  </si>
  <si>
    <t>25b9af92-ac43-4e15-a56f-8c9900d822cc</t>
  </si>
  <si>
    <t>г.о. Зарайск, д. Авдеево, д. 49</t>
  </si>
  <si>
    <t>54.6689491271973</t>
  </si>
  <si>
    <t>38.8847389221191</t>
  </si>
  <si>
    <t>МКД-38,87куб.м. ГБУЗ МО «ЗЦРБ»-0,07куб.м; МАДОУ «Детский сад № 21 «Ласточка»-0,71куб.м; МБОУ «Авдеевская средняя школа»-1,36куб.м</t>
  </si>
  <si>
    <t>689cf77f-2abb-4121-b8f0-8995e21445ad</t>
  </si>
  <si>
    <t>г.о. Зарайск, д. Авдеево, д. 52</t>
  </si>
  <si>
    <t>54.6697845458984</t>
  </si>
  <si>
    <t>38.8879394531250</t>
  </si>
  <si>
    <t>МКД-63,02куб.м. ИП Салаев Али Махмуд Оглы-4,75куб.м</t>
  </si>
  <si>
    <t>f2414b59-c139-49c4-9183-3c63d66528c3</t>
  </si>
  <si>
    <t>г.о. Зарайск, д. Авдеево, д. 53</t>
  </si>
  <si>
    <t>54.6709938049316</t>
  </si>
  <si>
    <t>38.8877410888672</t>
  </si>
  <si>
    <t>МКД-11,77куб.м. ООО "АВДЕЕВСКОЕ"-7,61куб.м</t>
  </si>
  <si>
    <t>bef21f1c-9d43-4b67-b964-20c627c8c6c4</t>
  </si>
  <si>
    <t>г.о. Зарайск, д. Алферьево, Микрорайон, д. 2</t>
  </si>
  <si>
    <t>54.6513977050781</t>
  </si>
  <si>
    <t>38.7478332519531</t>
  </si>
  <si>
    <t xml:space="preserve">МКД-28,98куб.м. </t>
  </si>
  <si>
    <t>cbefa1ba-fb7f-4fd7-9ed9-6d803cfd8f0a</t>
  </si>
  <si>
    <t>г.о. Зарайск, д. Алферьево, Микрорайон, д. 5</t>
  </si>
  <si>
    <t>54.6515693664551</t>
  </si>
  <si>
    <t>38.7431449890137</t>
  </si>
  <si>
    <t xml:space="preserve">МКД-28,56куб.м. </t>
  </si>
  <si>
    <t>677a79b7-6c46-4d3a-9de9-0be45329c296</t>
  </si>
  <si>
    <t>г.о. Зарайск, д. Алферьево, Микрорайон, д. 6</t>
  </si>
  <si>
    <t>54.6521224975586</t>
  </si>
  <si>
    <t>38.7463035583496</t>
  </si>
  <si>
    <t>МКД-31,39куб.м. Коршунова Татьяна Евгеньевна-1,9куб.м</t>
  </si>
  <si>
    <t>7d467b42-e380-4fc6-b157-be7698f722dc</t>
  </si>
  <si>
    <t>г.о. Зарайск, д. Алферьево, Микрорайон, д. 7</t>
  </si>
  <si>
    <t>54.6507415771484</t>
  </si>
  <si>
    <t>38.7459793090820</t>
  </si>
  <si>
    <t>МКД-29,24куб.м. Государственное казенное учреждение Московской области «Московская областная противопожарно-спасател-0,43куб.м</t>
  </si>
  <si>
    <t>d02ede91-f572-4b5b-a8c6-ad2d2ed6f3b8</t>
  </si>
  <si>
    <t>г.о. Зарайск, д. Гололобово, д. 13</t>
  </si>
  <si>
    <t>54.7637825012207</t>
  </si>
  <si>
    <t>38.9123344421387</t>
  </si>
  <si>
    <t>2b2e59bf-7892-48aa-9fb4-4c63aa0a482d</t>
  </si>
  <si>
    <t>г.о. Зарайск, д. Гололобово, д. 7</t>
  </si>
  <si>
    <t>54.7633895874023</t>
  </si>
  <si>
    <t>38.9157714843750</t>
  </si>
  <si>
    <t>МКД-76,29куб.м. Сыкалов В.А.-2,85куб.м</t>
  </si>
  <si>
    <t>e10312aa-2a82-4b3a-90a6-4d4ade881162</t>
  </si>
  <si>
    <t>г.о. Зарайск, д. Ерново, д. 3 (котельная)</t>
  </si>
  <si>
    <t>54.7591361999512</t>
  </si>
  <si>
    <t>39.0043411254883</t>
  </si>
  <si>
    <t>МКД-72,92куб.м. МАДОУ "Детский сад №23 "Ромашка"-1,26куб.м; МБУ «Ерновский сельский дом культуры»-0,93куб.м</t>
  </si>
  <si>
    <t>f12f5f6b-59c7-47c4-962b-836e205e845f</t>
  </si>
  <si>
    <t>г.о. Зарайск, д. Журавна, д. 46</t>
  </si>
  <si>
    <t>54.6692924499512</t>
  </si>
  <si>
    <t>38.5983200073242</t>
  </si>
  <si>
    <t xml:space="preserve">МКД-27,86куб.м. </t>
  </si>
  <si>
    <t>e45e85bb-2249-419a-8077-70ac83aa0c34</t>
  </si>
  <si>
    <t>г.о. Зарайск, д. Журавна, д. 7</t>
  </si>
  <si>
    <t>54.6677322387695</t>
  </si>
  <si>
    <t>38.5905952453613</t>
  </si>
  <si>
    <t>МКД-48,95куб.м. ГБУЗ МО «ЗЦРБ»-0,07куб.м; Гончаренко Т.В.-1,02куб.м</t>
  </si>
  <si>
    <t>6a019462-52ab-40f4-ab91-3a63849b1811</t>
  </si>
  <si>
    <t>г.о. Зарайск, д. Журавна, д. 8</t>
  </si>
  <si>
    <t>54.6669578552246</t>
  </si>
  <si>
    <t>38.5928764343262</t>
  </si>
  <si>
    <t>МКД-54,42куб.м. МЕСТНАЯ РЕЛИГИОЗНАЯ ОРГАНИЗАЦИЯ ПРАВОСЛАВНЫЙ ПРИХОД ПРЕОБРАЖЕНСКОГО ХРАМА Д. ЖУРАВНА ЗАРАЙСКОГО РАЙО-0,07куб.м</t>
  </si>
  <si>
    <t>Евро 1.1</t>
  </si>
  <si>
    <t>3c7b2cff-4a09-4b19-a765-faf0d2245899</t>
  </si>
  <si>
    <t>г.о. Зарайск, д. Зименки-1, д. 25</t>
  </si>
  <si>
    <t>54.6604690551758</t>
  </si>
  <si>
    <t>39.0345344543457</t>
  </si>
  <si>
    <t>МКД-30,83куб.м. МБУ «ДК поселка «Зарайский»-0,29куб.м; МЕСТНАЯ РЕЛИГИОЗНАЯ ОРГАНИЗАЦИЯ ПРАВОСЛАВНЫЙ ПРИХОД ТРОИЦКОГО  ХРАМА   Д. ЗИМЁНКИ 1 ЗАРАЙСКОГО РАЙОН-0,07куб.м; СНТ "РОДНИК-3"-1,9куб.м</t>
  </si>
  <si>
    <t>66a814d1-ac7a-4dce-aa7a-0456820fbf9c</t>
  </si>
  <si>
    <t>г.о. Зарайск, д. Козловка (баня)</t>
  </si>
  <si>
    <t>54.8095092773438</t>
  </si>
  <si>
    <t>38.9624900817871</t>
  </si>
  <si>
    <t>МКД-37,1куб.м. МБУ «Ерновский сельский дом культуры»-0,46куб.м</t>
  </si>
  <si>
    <t>1dfaa253-8188-4f4e-9b94-6ebef18e0673</t>
  </si>
  <si>
    <t>г.о. Зарайск, д. Летуново, ул. Магазинная, д. 1</t>
  </si>
  <si>
    <t>54.7041893005371</t>
  </si>
  <si>
    <t>39.0175094604492</t>
  </si>
  <si>
    <t xml:space="preserve">МКД-47,81куб.м. </t>
  </si>
  <si>
    <t>214b2e31-b017-4c31-af63-bf36bf539f58</t>
  </si>
  <si>
    <t>г.о. Зарайск, д. Летуново, ул. Полевая, д. 3</t>
  </si>
  <si>
    <t>54.7040634155273</t>
  </si>
  <si>
    <t>39.0133399963379</t>
  </si>
  <si>
    <t>МКД-70,92куб.м. ДЕТСКИЙ САД №24 ВАСИЛЕК МБДОУ-0,97куб.м; ИП Чадина Светлана Николаевна-1,42куб.м; ПОЧТА РОССИИ АО-0,1куб.м</t>
  </si>
  <si>
    <t>05d0545e-36a3-4aa8-9e19-0613ca8675be</t>
  </si>
  <si>
    <t>г.о. Зарайск, д. Макеево, ул. Железнодорожная, д. 3</t>
  </si>
  <si>
    <t>54.6653137207031</t>
  </si>
  <si>
    <t>39.1244812011719</t>
  </si>
  <si>
    <t xml:space="preserve">МКД-95,42куб.м. </t>
  </si>
  <si>
    <t>97b5b1e4-451f-4777-b8d5-6089d8bb9b63</t>
  </si>
  <si>
    <t>г.о. Зарайск, д. Макеево, ул. Центральная, д. 5</t>
  </si>
  <si>
    <t>54.6677055358887</t>
  </si>
  <si>
    <t>39.1153106689453</t>
  </si>
  <si>
    <t>МКД-89,07куб.м. ГБУЗ МО «ЗЦРБ»-0,07куб.м; Димицкая Елена Алексеевна-1,52куб.м; ЗАО "Макеево"-1,59куб.м; МАДОУ "ДЕТСКИЙ САД №26 "РОДНИЧОК"-1,78куб.м; МБУ «ДК поселка «Зарайский»-2,68куб.м; ПОЧТА РОССИИ АО-0,16куб.м</t>
  </si>
  <si>
    <t>ba5bb6e6-24e0-435b-b18f-a3c209eb4dc1</t>
  </si>
  <si>
    <t>г.о. Зарайск, д. Мендюкино, д. 18</t>
  </si>
  <si>
    <t>54.7741432189941</t>
  </si>
  <si>
    <t>38.8437919616699</t>
  </si>
  <si>
    <t>МКД-53,81куб.м. ИП Грузнова Елена Викторовна-2,28куб.м; Комова Марина Владимировна-1,18куб.м; ООО "СОМ"-0,21куб.м</t>
  </si>
  <si>
    <t>c8cadff5-f8ea-41bf-b8c6-1ffdef531348</t>
  </si>
  <si>
    <t>г.о. Зарайск, д. Мендюкино, д. 25, СХТ</t>
  </si>
  <si>
    <t>54.7720718383789</t>
  </si>
  <si>
    <t>38.8447456359863</t>
  </si>
  <si>
    <t xml:space="preserve">МКД-62,97куб.м. </t>
  </si>
  <si>
    <t>051b8a9b-5e07-40d2-ac82-963cb09cce2f</t>
  </si>
  <si>
    <t>г.о. Зарайск, д. Мендюкино, д. 91, коттедж</t>
  </si>
  <si>
    <t>54.7738609313965</t>
  </si>
  <si>
    <t>38.8482742309570</t>
  </si>
  <si>
    <t>МКД-43,77куб.м. ИП Власова Ольга Юрьевна-1,9куб.м; ПОЧТА РОССИИ АО-0,09куб.м</t>
  </si>
  <si>
    <t>706a7e86-852e-400e-acd5-b659b49334fa</t>
  </si>
  <si>
    <t>г.о. Зарайск, д. Новоселки, котельная</t>
  </si>
  <si>
    <t>54.8206825256348</t>
  </si>
  <si>
    <t>38.9068717956543</t>
  </si>
  <si>
    <t xml:space="preserve">МКД-43,96куб.м. </t>
  </si>
  <si>
    <t>3d2d4800-ae55-4953-abeb-f5354be8eaf6</t>
  </si>
  <si>
    <t>г.о. Зарайск, д. Протекино, д. 22</t>
  </si>
  <si>
    <t>54.8252830505371</t>
  </si>
  <si>
    <t>38.7848510742188</t>
  </si>
  <si>
    <t>МКД-59,23куб.м. ИП Зуйкин Олег Николаевич-0,34куб.м; МБУ «Мендюкинский сельский дом культуры»-1,75куб.м; МДОУ "Детский сад №15 "Колокольчик"-0,97куб.м; МЕСТНАЯ РЕЛИГИОЗНАЯ ОРГАНИЗАЦИЯ ПРАВОСЛАВНЫЙ ПРИХОД ХРАМА СВТ. ВАСИЛИЯ, ЕПИСКОПА РЯЗАНСКОГО, С. ПРОТ-0,07куб.м; ТСН "ГУМИЛИНО"-2,53куб.м</t>
  </si>
  <si>
    <t>695550d0-3e91-42d7-8f4b-a6ab29aa7bac</t>
  </si>
  <si>
    <t>г.о. Зарайск, пос. Завода Строительных Материалов, д. 23</t>
  </si>
  <si>
    <t>54.7774047851562</t>
  </si>
  <si>
    <t>МКД-90,57куб.м. ИП Краюшкин Геннадий Викторович-0,43куб.м</t>
  </si>
  <si>
    <t>4f918571-dbb8-4f6d-ae01-e394976b151c</t>
  </si>
  <si>
    <t>г.о. Зарайск, пос. Зарайский, д. 47</t>
  </si>
  <si>
    <t>54.6884193420410</t>
  </si>
  <si>
    <t>39.0101432800293</t>
  </si>
  <si>
    <t>МКД-58,16куб.м. ГБУЗ МО «ЗЦРБ»-0,72куб.м; МБОУ «Летуновская средняя школа»-2,45куб.м; МУП «Новые экологические технологии»-0,21куб.м; ООО "ЭЛЬФ"-0,07куб.м; ПОЧТА РОССИИ АО-0,07куб.м</t>
  </si>
  <si>
    <t>fc6d1b61-8ec1-4520-9ac0-20b6322668e1</t>
  </si>
  <si>
    <t>г.о. Зарайск, пос. Масловский, ул. Клубная, д. 8</t>
  </si>
  <si>
    <t>54.7760696411133</t>
  </si>
  <si>
    <t>39.0822410583496</t>
  </si>
  <si>
    <t>МКД-91,49куб.м. ГБУЗ МО «ЗЦРБ»-0,36куб.м; МАДОУ "Детский сад №18 «Росточек»-1,43куб.м; ООО "МАРИЯ"-3,36куб.м</t>
  </si>
  <si>
    <t>17474112-fbf5-47e3-a33b-c9ca4e6068cb</t>
  </si>
  <si>
    <t>г.о. Зарайск, пос. Масловский, ул. Центральная, д. 1 (контора)</t>
  </si>
  <si>
    <t>54.7788085937500</t>
  </si>
  <si>
    <t>39.0836982727051</t>
  </si>
  <si>
    <t>МКД-45,57куб.м. МБУ «Ерновский сельский дом культуры»-0,93куб.м</t>
  </si>
  <si>
    <t>f67b000f-8deb-4347-8922-c08220dbed4f</t>
  </si>
  <si>
    <t>г.о. Зарайск, пос. Масловский, ул. Центральная, д. 13</t>
  </si>
  <si>
    <t>54.7799530029297</t>
  </si>
  <si>
    <t>39.0804367065430</t>
  </si>
  <si>
    <t xml:space="preserve">МКД-33,47куб.м. </t>
  </si>
  <si>
    <t>37b8f193-6e74-47fd-8577-80f19f0121f1</t>
  </si>
  <si>
    <t>г.о. Зарайск, пос. ПМК-6, д. 1</t>
  </si>
  <si>
    <t>54.7474441528320</t>
  </si>
  <si>
    <t>38.8849487304688</t>
  </si>
  <si>
    <t>МКД-39,89куб.м. СНТ "БЕРЁЗКА"-1,14куб.м; СНТ "ВОСХОД" ИСПОЛКОМА ГОРСОВЕТА-1,26куб.м; СНТ "Отдых"-1,07куб.м; Шувалов Роман Вячеславович-0,21куб.м</t>
  </si>
  <si>
    <t>95b64854-44e9-4a0b-91ea-88f05463b76f</t>
  </si>
  <si>
    <t>г.о. Зарайск, пос. Центральной усадьбы совхоза 40 лет Октября, ул. Первомайская, д. 2</t>
  </si>
  <si>
    <t>54.7753143310547</t>
  </si>
  <si>
    <t>38.6410789489746</t>
  </si>
  <si>
    <t xml:space="preserve">МКД-52,86куб.м. </t>
  </si>
  <si>
    <t>8f13e05b-774d-4615-b137-dcdb4b086085</t>
  </si>
  <si>
    <t>г.о. Зарайск, пос. Центральной усадьбы совхоза 40 лет Октября, ул. Пролетарская, д. 42</t>
  </si>
  <si>
    <t>54.7735786437988</t>
  </si>
  <si>
    <t>38.6416435241699</t>
  </si>
  <si>
    <t>МКД-79,26куб.м. ПОЧТА РОССИИ АО-0,1куб.м</t>
  </si>
  <si>
    <t>8f548ca5-32d1-44e0-863c-cb27c6cc0de8</t>
  </si>
  <si>
    <t>г.о. Зарайск, пос. Центральной усадьбы совхоза 40 лет Октября, ул. Пролетарская, д. 48</t>
  </si>
  <si>
    <t>54.7717514038086</t>
  </si>
  <si>
    <t>38.6392288208008</t>
  </si>
  <si>
    <t>МКД-38,05куб.м. МБУ «Мендюкинский сельский дом культуры»-1,58куб.м</t>
  </si>
  <si>
    <t>fae32c8a-a591-4c0f-b91a-70fc1f7cfe97</t>
  </si>
  <si>
    <t>г.о. Зарайск, с. Чулки-Соколово, Микрорайон, д. 18</t>
  </si>
  <si>
    <t>54.7339973449707</t>
  </si>
  <si>
    <t>38.8292808532715</t>
  </si>
  <si>
    <t>МКД-48,13куб.м. ГБУЗ МО «ЗЦРБ»-0,21куб.м</t>
  </si>
  <si>
    <t>e08b02cd-0bfb-4bf5-b2b8-2afdae68a3b9</t>
  </si>
  <si>
    <t>г.о. Зарайск, с. Чулки-Соколово, Микрорайон, д. 9</t>
  </si>
  <si>
    <t>54.7363662719727</t>
  </si>
  <si>
    <t>38.8322639465332</t>
  </si>
  <si>
    <t xml:space="preserve">МКД-114,96куб.м. </t>
  </si>
  <si>
    <t>5355935d-bc35-4b72-9b14-71f5a27d5dfd</t>
  </si>
  <si>
    <t>г.о. Зарайск, д. Бавыкино</t>
  </si>
  <si>
    <t>54.7540550231934</t>
  </si>
  <si>
    <t>39.0993537902832</t>
  </si>
  <si>
    <t>bb052624-baa5-422d-88ac-347f7db5e7a0</t>
  </si>
  <si>
    <t>г.о. Зарайск, д. Замятино</t>
  </si>
  <si>
    <t>54.8171386718750</t>
  </si>
  <si>
    <t>38.9364242553711</t>
  </si>
  <si>
    <t>3157916e-518f-4edc-ad8c-7ceacad5589f</t>
  </si>
  <si>
    <t>г.о.Зарайск,д. Мендюкино, ул. Луговая</t>
  </si>
  <si>
    <t>54.7698440551758</t>
  </si>
  <si>
    <t>38.8303375244141</t>
  </si>
  <si>
    <t>1f6499a4-50e0-41c4-b475-c8a7c2ea04ed</t>
  </si>
  <si>
    <t>г.о. Зарайск,д.Ситьково</t>
  </si>
  <si>
    <t>54.8153686523438</t>
  </si>
  <si>
    <t>39.1186485290527</t>
  </si>
  <si>
    <t>c43aea31-6bfa-4c3b-872f-5309571744dd</t>
  </si>
  <si>
    <t>г.о. Зарайск, 1 мкр., д. 11</t>
  </si>
  <si>
    <t>54.7566070556641</t>
  </si>
  <si>
    <t>38.8933677673340</t>
  </si>
  <si>
    <t>МКД-128,13куб.м. ИП Галтвин Эдуард Александрович-0,07куб.м; ИП Золотов В. В.-4,25куб.м; ИП Исаев Геннадий Андреевич-1,62куб.м; ИП Исаев Геннадий Андреевич-15,39куб.м; ИПВласов Михаил Александрович-1,33куб.м; Маркин Максим Вячеславович-0,13куб.м; МБОУ ДПО «Учебно-методический информационный центр»-0,72куб.м; ООО "ГАЗТЕПЛОСЕРВИС"-0,29куб.м; ПРОЕКТНОЕ БЮРО А ООО-0,36куб.м; Трундаев Юрий Викторович-0,34куб.м</t>
  </si>
  <si>
    <t>b8e4f13c-8e1e-4999-ae5b-920dc02c52a4</t>
  </si>
  <si>
    <t>г.о. Зарайск, 1 мкр., д. 14</t>
  </si>
  <si>
    <t>54.7567405700684</t>
  </si>
  <si>
    <t>38.8896408081055</t>
  </si>
  <si>
    <t>МКД-130,51куб.м. Елунин Борис Анатольевич-0,95куб.м; ИП Новикова Людмила Михайловна-1,14куб.м; ИП Рожкова Татьяна Александровна-1,23куб.м; ИП Шаровар Валентина Николаевна-0,95куб.м; ИП Широбокова Наталия Анатольевна-1,9куб.м; ИП Шумилина Людмила Юрьевна-0,29куб.м; Кочергина Галина Викторовна-0,07куб.м; Леонов Максим Романович-3,8куб.м; ПОЧТА РОССИИ АО-0,58куб.м; Смирнов Николай Георгиевич-0,95куб.м; Ювилов Михаил Иосифович-0,07куб.м</t>
  </si>
  <si>
    <t>d18298f9-70fe-4f98-8bdf-14020aabfbe8</t>
  </si>
  <si>
    <t>г.о. Зарайск, 1 мкр., д. 18</t>
  </si>
  <si>
    <t>54.7558364868164</t>
  </si>
  <si>
    <t>38.8881721496582</t>
  </si>
  <si>
    <t>МКД-138,72куб.м. ГЛАВНОЕ УПРАВЛЕНИЕ ЗАГС МОСКОВСКОЙ ОБЛАСТИ-0,36куб.м; Дружинина Екатерина Николаевна-0,13куб.м; ИП Краюшкин Геннадий Викторович-0,76куб.м; ИП Царев С.Н.-4,27куб.м; ИП Чернейкина Ирина Викторовна-1,99куб.м; Карасева Ольга Дмитриевна-0,66куб.м; Карп Александра Геннадиевна-0,76куб.м; ООО "Альфа Владимир"-5,94куб.м</t>
  </si>
  <si>
    <t>bdfaa2cf-be08-4ee8-aef0-54361f98cb3e</t>
  </si>
  <si>
    <t>г.о. Зарайск, 1 мкр., д. 21</t>
  </si>
  <si>
    <t>54.7546463012695</t>
  </si>
  <si>
    <t>38.8880043029785</t>
  </si>
  <si>
    <t>МКД-173,2куб.м. Вербицкий Артем Сергеевич-1,47куб.м; Калугина Анастасия Тимофеевна-0,85куб.м; Матюшкина В.В.-1,47куб.м; ООО "ПУЛЬСАР - ФАРМ"-0,14куб.м; Тетерина Екатерина Геннадиевна-0,38куб.м</t>
  </si>
  <si>
    <t>5807aaa3-6ac2-4e88-b656-7388333b4b8c</t>
  </si>
  <si>
    <t>г.о. Зарайск, 1 мкр., д. 28</t>
  </si>
  <si>
    <t>54.7541503906250</t>
  </si>
  <si>
    <t>38.8928794860840</t>
  </si>
  <si>
    <t>МКД-189,14куб.м. Ганиятуллов Кирилл Анверович-1,14куб.м; ГБПОУ МО "ВОСКРЕСЕНСКИЙ КОЛЛЕДЖ"-1,59куб.м; Дронова Светлана Павловна-3,7куб.м</t>
  </si>
  <si>
    <t>f6999753-9fa7-47be-bfb0-36e7fed82ffd</t>
  </si>
  <si>
    <t>г.о. Зарайск, 2 мкр., д. 14</t>
  </si>
  <si>
    <t>54.7603187561035</t>
  </si>
  <si>
    <t>38.8920555114746</t>
  </si>
  <si>
    <t>МКД-127,73куб.м. ИП Галтвин Эдуард Александрович-1,39куб.м; ИП Макарова Наталья Евгеньевна-0,13куб.м; ИП Михаелян Сурен Араратович-2,58куб.м; ИП Михаелян Сурен Араратович-2,58куб.м; ИП Шумилина Людмила Юрьевна-0,65куб.м; ИП Шумилина Людмила Юрьевна-2,85куб.м; МБУ "ЦЕНТР "СЕМЬЯ"-0,43куб.м; ООО "Импульс"-0,29куб.м; Шаповалова Анна Валерьевна-0,57куб.м; Щербаков Владимир Юрьевич-1,14куб.м</t>
  </si>
  <si>
    <t>40922ac3-33bb-4a0f-a145-a808955ef332</t>
  </si>
  <si>
    <t>г.о. Зарайск, 2 мкр., д. 2</t>
  </si>
  <si>
    <t>54.7615394592285</t>
  </si>
  <si>
    <t>38.8907737731934</t>
  </si>
  <si>
    <t>МКД-131,15куб.м. ПОЧТА РОССИИ АО-0,52куб.м</t>
  </si>
  <si>
    <t>47c61cca-789c-493d-9838-235fcd0ad98e</t>
  </si>
  <si>
    <t>г.о. Зарайск, 2 мкр., д. 24</t>
  </si>
  <si>
    <t>54.7622718811035</t>
  </si>
  <si>
    <t>38.8969993591309</t>
  </si>
  <si>
    <t>МКД-171,4куб.м. Дронова Светлана Павловна-4,56куб.м; ИП Заранян Артур Эдуардович-0,07куб.м</t>
  </si>
  <si>
    <t>3ae3bfd5-8be5-4be0-a4b6-45840f34ce75</t>
  </si>
  <si>
    <t>г.о. Зарайск, 2 мкр., д. 35</t>
  </si>
  <si>
    <t>54.7644538879395</t>
  </si>
  <si>
    <t>38.8947982788086</t>
  </si>
  <si>
    <t>МКД-182,04куб.м. Горин Сергей Викторович-0,13куб.м; ИП Сыкалова Мария Владимировна-0,47куб.м; ИП Шебалин Дмитрий Евгеньевич-1,14куб.м</t>
  </si>
  <si>
    <t>12a128c4-e5b0-4a49-adad-2565a194c75c</t>
  </si>
  <si>
    <t>г.о. Зарайск, 2 мкр., д. 5а</t>
  </si>
  <si>
    <t>54.7606925964355</t>
  </si>
  <si>
    <t>38.8907127380371</t>
  </si>
  <si>
    <t>МКД-155,55куб.м. Жмурко К.М.-0,47куб.м; ИП Астахова Елена Евгеньевна-0,07куб.м; ИП Шебалина Наталья Сергеевна-1,04куб.м; МБУК "ЦБС г. о. Зарайск"-0,87куб.м; Муравьев Василий Иванович-0,76куб.м; Отдел опеки и попечительства Министерства образования Московской области по городским округам Зарайс-0,36куб.м; ПАО «Сбербанк России»-0,94куб.м; Степанова Людмила Сергеевна-0,66куб.м</t>
  </si>
  <si>
    <t>66354791-5e5c-4918-832f-913b15925fa6</t>
  </si>
  <si>
    <t>г.о. Зарайск, ул. Дзержинского, д. 2/18</t>
  </si>
  <si>
    <t>54.7631111145020</t>
  </si>
  <si>
    <t>38.8829383850098</t>
  </si>
  <si>
    <t>МКД-42,29куб.м. ООО «Зарайский хлебокомбинат»-0,95куб.м</t>
  </si>
  <si>
    <t>128d1aa5-0374-452f-9c83-46f3e9e483c8</t>
  </si>
  <si>
    <t>г.о. Зарайск, ул. Дзержинского, д. 43</t>
  </si>
  <si>
    <t>54.7594223022461</t>
  </si>
  <si>
    <t>38.8820991516113</t>
  </si>
  <si>
    <t>МКД-24,63куб.м. Бубенчикова Виктория Владимировна-0,69куб.м; Государственный музей-заповедник "Зарайский кремль"-0,94куб.м; ГУ - УПФР №41 ПО Г.МОСКВЕ И МОСКОВСКОЙ ОБЛАСТИ-3,62куб.м; ИПВласов Михаил Александрович-1,01куб.м; Киселева Ольга Викторовна-0,14куб.м; Лыжина Тамара Борисовна-0,21куб.м; Сластен Максим Федорович-2,85куб.м; Управление Судебного департамента в Московской области-2,17куб.м; Щеголева Надежда Викторовна-3,42куб.м</t>
  </si>
  <si>
    <t>97cd64bc-c50e-4ee6-92eb-dc0ac74bef1a</t>
  </si>
  <si>
    <t>г.о. Зарайск, ул. Дзержинского, д. 51 (перопух)</t>
  </si>
  <si>
    <t>54.7576675415039</t>
  </si>
  <si>
    <t>38.8818054199219</t>
  </si>
  <si>
    <t>МКД-28,23куб.м. ИП Барабанова Оксана Александровна-0,76куб.м; ИП Краюшкин Геннадий Викторович-0,47куб.м; ИП Павлов Д.Е-0,5куб.м; МБУ ДО "ДЕТСКАЯ ШКОЛА ИСКУССТВ ИМ.А.С. ГОЛУБКИНОЙ"-3,25куб.м; МБУ ДО "ДШИ "РОДНИК"-3,73куб.м; МЕСТНАЯ РЕЛИГИОЗНАЯ ОРГАНИЗАЦИЯ ПРАВОСЛАВНЫЙ ПРИХОД БЛАГОВЕЩЕНСКОГО ХРАМА Г. ЗАРАЙСКА МОСКОВСКОЙ ОБЛ-0,36куб.м; МКУ "ЦПТ ГОРОДСКОГО ОКРУГА ЗАРАЙСК"-1,08куб.м; ООО "Монетафарм"-0,29куб.м</t>
  </si>
  <si>
    <t>172625eb-dc16-48c1-9d21-8c14ab2a4e77</t>
  </si>
  <si>
    <t>г.о. Зарайск, ул. Дзержинского, д. 85</t>
  </si>
  <si>
    <t>54.7523994445801</t>
  </si>
  <si>
    <t>38.8804168701172</t>
  </si>
  <si>
    <t>МКД-40,6куб.м. ЗАРАЙСКОЕ ООИР-0,21куб.м; ИП Демин Дмитрий Николаевич-1,14куб.м</t>
  </si>
  <si>
    <t>8c4115a9-a921-4f11-8bfa-b394c87df562</t>
  </si>
  <si>
    <t>г.о. Зарайск, ул. Димитра Благоева, д. 11</t>
  </si>
  <si>
    <t>54.7616577148438</t>
  </si>
  <si>
    <t>38.8850555419922</t>
  </si>
  <si>
    <t xml:space="preserve">МКД-69,8куб.м. </t>
  </si>
  <si>
    <t>d0f86044-9750-4dff-9a52-dcb05c909d10</t>
  </si>
  <si>
    <t>г.о. Зарайск, ул. Димитра Благоева, д. 22</t>
  </si>
  <si>
    <t>54.7592430114746</t>
  </si>
  <si>
    <t>38.8832435607910</t>
  </si>
  <si>
    <t>МКД-75,3куб.м. ГКУ МО Зарайский ЦЗН-1,37куб.м</t>
  </si>
  <si>
    <t>7f6d135a-95ad-49d9-89a1-8c952d27c35b</t>
  </si>
  <si>
    <t>г.о. Зарайск, ул. Димитра Благоева, д. 6</t>
  </si>
  <si>
    <t>54.7618446350098</t>
  </si>
  <si>
    <t>38.8838539123535</t>
  </si>
  <si>
    <t>МКД-61,82куб.м. АСТРЕЯ ООО-0,66куб.м; Васильева Татьяна Анатольевна-0,13куб.м; ГАУ МО «Ступинское информационное агентство Московской области»-0,79куб.м; Рахманова Елена Вячеславовна-0,14куб.м; Сикачев Андрей Александрович-1,9куб.м; Сычикова Тамара Михайловна-4,75куб.м</t>
  </si>
  <si>
    <t>03a9b725-da02-4602-b31c-57e6295acaf8</t>
  </si>
  <si>
    <t>г.о. Зарайск, ул. Карла Маркса, д. 2/6</t>
  </si>
  <si>
    <t>54.7646408081055</t>
  </si>
  <si>
    <t>38.8780593872070</t>
  </si>
  <si>
    <t>МКД-12,73куб.м. АО "Московское областное предприятие "Союзпечать"-0,07куб.м; МБУ "Дворец культуры имени В.Н. Леонова"-5,83куб.м; ООО "Альфа Рязань"-8,99куб.м; ООО "Бета-М"-8,74куб.м; ПАО «Сбербанк России»-0,65куб.м</t>
  </si>
  <si>
    <t>c68d9d15-f2df-49da-84f5-05280929dc01</t>
  </si>
  <si>
    <t>г.о. Зарайск, ул. Карла Маркса, д. 52, рядом с магазином «Гарант»</t>
  </si>
  <si>
    <t>54.7577285766602</t>
  </si>
  <si>
    <t>38.8773193359375</t>
  </si>
  <si>
    <t>МКД-25,02куб.м. Авдюхина Анастасия Владимировна-7,59куб.м; Алиев Айнур Джабир Оглы-4,56куб.м; Вдовиченко Алена Николаевна-0,95куб.м; ВИАЛАБ ООО-0,21куб.м; ИП Ворончев Анатолий Михайлович-1,14куб.м; ИП Иванова Ольга Викторовна-0,26куб.м; ИП Караулова Галина Петровна-0,07куб.м; ИП Сафонова Лидия Николаевна-0,13куб.м; ИП Фадеев Николай Владимирович-1,9куб.м; ИП Федин И.В-0,24куб.м; ИП Шибенкова Лидия Николаевна-2,89куб.м; Кузин Василий Михайлович-0,07куб.м; Маргарян Хачатур Ашотович-1,9куб.м; МОКА-0,21куб.м; Мотов Сергей Юрьевич-0,71куб.м</t>
  </si>
  <si>
    <t>f9e5e63e-d8b3-48e1-a794-5e6fc09c2da3</t>
  </si>
  <si>
    <t>г.о. Зарайск, ул. Красноармейская, д. 44</t>
  </si>
  <si>
    <t>54.7597923278809</t>
  </si>
  <si>
    <t>38.8747367858887</t>
  </si>
  <si>
    <t>МКД-22,98куб.м. ИП Денисова Нина Сергеевна-3,8куб.м; ООО "УК РЕГИОН"-0,53куб.м; ООО «Зарайский хлебокомбинат»-1,42куб.м; ПАО СК "РОСГОССТРАХ"-0,65куб.м; Рафикова Альфия Рафаиловна-1,03куб.м; Шерманова Татьяна Аркадьевна-2,46куб.м</t>
  </si>
  <si>
    <t>6179ac91-70ae-464f-9d20-624c229e025a</t>
  </si>
  <si>
    <t>г.о. Зарайск, ул. Ленинская, 31/6 (стрелка)</t>
  </si>
  <si>
    <t>54.7613296508789</t>
  </si>
  <si>
    <t>38.8745079040527</t>
  </si>
  <si>
    <t>МКД-36,93куб.м. Вольвич Ольга Витальевна-0,3куб.м; МЕСТНАЯ РЕЛИГИОЗНАЯ ОРГАНИЗАЦИЯ ПРАВОСЛАВНЫЙ ПРИХОД ИЛЬИНСКОГО  ХРАМА Г.ЗАРАЙСКА  МОСКОВСКОЙ ОБЛАСТИ-0,36куб.м</t>
  </si>
  <si>
    <t>6d2c30f4-a4b6-4d77-9b1d-0b0978cdd75a</t>
  </si>
  <si>
    <t>г.о. Зарайск, ул. Ленинская, д. 10, похоронное бюро</t>
  </si>
  <si>
    <t>54.7611045837402</t>
  </si>
  <si>
    <t>38.8775024414062</t>
  </si>
  <si>
    <t>МКД-26,33куб.м. ИП Ильина Екатерина Евгеньевна-0,4куб.м; ИП Садыгов Санан Назим Оглы-4,08куб.м; МБОУ «Средняя школа № 1»-6,76куб.м; ООО «Гришков и К-Зарайск»-1,9куб.м</t>
  </si>
  <si>
    <t>7e73271a-5644-4b45-a46e-a14d74ee1dd3</t>
  </si>
  <si>
    <t>г.о. Зарайск, ул. Ленинская, д. 38</t>
  </si>
  <si>
    <t>54.7600669860840</t>
  </si>
  <si>
    <t>38.8864936828613</t>
  </si>
  <si>
    <t>МКД-38,26куб.м. Потапова Е. Н.-1,14куб.м</t>
  </si>
  <si>
    <t>45af05a3-928d-4214-9e5a-e190dd73718a</t>
  </si>
  <si>
    <t>г.о. Зарайск, ул. Ленинская, д. 49</t>
  </si>
  <si>
    <t>54.7585144042969</t>
  </si>
  <si>
    <t>38.8920097351074</t>
  </si>
  <si>
    <t>МКД-80,93куб.м. ООО "Альбион-2002"-6,15куб.м; ООО "Бэст Прайс"-24,7куб.м; ООО "Монетафарм"-0,29куб.м; ПАО "Ростелеком"-0,07куб.м; Цыганкова Альбина Михайловна-1,71куб.м</t>
  </si>
  <si>
    <t>328f96c8-19d5-4a27-b6f9-c5761472410d</t>
  </si>
  <si>
    <t>г.о. Зарайск, ул. Мерецкова, д. 62, милиция</t>
  </si>
  <si>
    <t>54.7580184936523</t>
  </si>
  <si>
    <t>38.8793296813965</t>
  </si>
  <si>
    <t>МКД-20,85куб.м. Дмитриев Иван Васильевич-1,9куб.м; ЗДОРОВЬЕ ПЛЮС ООО-0,29куб.м; ИП Бушуева Марина Владимировна-3,31куб.м; ИП Созонова С. В.-5,7куб.м; ИП Феоктистов А.С-0,47куб.м; Местная религиозная организация Церковь христиан веры евангельской «Река Жизни»-0,21куб.м; МКУ "ЦБ УО ГОЗ"-3,04куб.м; Мыскова Ирина Алексеевна-1,42куб.м; ООО "Импульс"-0,29куб.м; ПРОКУРАТУРА МОСКОВСКОЙ ОБЛАСТИ-0,65куб.м</t>
  </si>
  <si>
    <t>3787f65f-4399-4170-9617-3197622c9415</t>
  </si>
  <si>
    <t>г.о. Зарайск, ул. Металлистов, д. 2</t>
  </si>
  <si>
    <t>54.7548027038574</t>
  </si>
  <si>
    <t>38.8847808837891</t>
  </si>
  <si>
    <t>МКД-70,76куб.м. ИП Аббасов Ариф Аслан Оглы-2,18куб.м</t>
  </si>
  <si>
    <t>3dd81315-2f27-4da9-a4bd-03af82290ac8</t>
  </si>
  <si>
    <t>г.о. Зарайск, ул. Московская, д. 102а-101</t>
  </si>
  <si>
    <t>54.7825698852539</t>
  </si>
  <si>
    <t>38.8829231262207</t>
  </si>
  <si>
    <t xml:space="preserve">МКД-103,01куб.м. </t>
  </si>
  <si>
    <t>59555d6a-da49-4c52-a287-00f2cc4291a4</t>
  </si>
  <si>
    <t>г.о. Зарайск, ул. Московская, д. 103-105</t>
  </si>
  <si>
    <t>54.7851562500000</t>
  </si>
  <si>
    <t>38.8874130249023</t>
  </si>
  <si>
    <t>МКД-35,87куб.м. Лучинов Сергей Александрович-0,43куб.м; Носов Игорь Александрович-0,07куб.м</t>
  </si>
  <si>
    <t>c02e7694-9740-46be-a6be-39d8c53648e2</t>
  </si>
  <si>
    <t>г.о. Зарайск, ул. Московская, д. 104</t>
  </si>
  <si>
    <t>54.7829017639160</t>
  </si>
  <si>
    <t>38.8862800598145</t>
  </si>
  <si>
    <t>МКД-35,3куб.м. ИП Марадудин И.А-0,76куб.м; ИП Рагимов Эльбрус Алимовсум Оглы-1,72куб.м</t>
  </si>
  <si>
    <t>c2b2bbf9-1173-4ed8-8253-cee1fd968df7</t>
  </si>
  <si>
    <t>г.о. Зарайск, ул. Московская, д. 111</t>
  </si>
  <si>
    <t>54.7864341735840</t>
  </si>
  <si>
    <t>38.8883628845215</t>
  </si>
  <si>
    <t xml:space="preserve">МКД-35,2куб.м. </t>
  </si>
  <si>
    <t>e041edc6-5b78-462e-99d7-8bef4f6b5a30</t>
  </si>
  <si>
    <t>г.о. Зарайск, ул. Полевая (ветлечебница)</t>
  </si>
  <si>
    <t>54.7524566650391</t>
  </si>
  <si>
    <t>МКД-322,28куб.м. ГБУВ МО «Терветуправление №5»-0,14куб.м; ИП Бурлаков Роман Михайлович-0,36куб.м; ООО "ИНВЕСТСТРОЙ"-0,69куб.м; ТРЕСТ ООО-0,21куб.м</t>
  </si>
  <si>
    <t>72623385-26ed-4468-a96a-a5ee67a31d60</t>
  </si>
  <si>
    <t>г.о. Зарайск, ул. Рязанская, д. 12</t>
  </si>
  <si>
    <t>54.7556533813477</t>
  </si>
  <si>
    <t>38.8995399475098</t>
  </si>
  <si>
    <t xml:space="preserve">МКД-72,59куб.м. </t>
  </si>
  <si>
    <t>56d2c624-03de-4b26-8e3c-e07af8a769d8</t>
  </si>
  <si>
    <t>г.о. Зарайск, ул. Свободы, д. 1</t>
  </si>
  <si>
    <t>54.7704315185547</t>
  </si>
  <si>
    <t>38.8775978088379</t>
  </si>
  <si>
    <t xml:space="preserve">МКД-38,08куб.м. </t>
  </si>
  <si>
    <t>64efced4-dde8-4a65-b42c-4350786fe7d0</t>
  </si>
  <si>
    <t>г.о. Зарайск, ул. Советская, д. 33</t>
  </si>
  <si>
    <t>54.7585029602051</t>
  </si>
  <si>
    <t>38.8856353759766</t>
  </si>
  <si>
    <t>МКД-55,2куб.м. Блажнова Елена Викторовна-0,57куб.м; Вдовиченко Алена Николаевна-0,95куб.м; ГОСАДМТЕХНАДЗОР МОСКОВСКОЙ ОБЛАСТИ-0,21куб.м; ИП Акобян Артур Сократович-2,28куб.м; ИП Марадудин И.А-1,99куб.м; Усеинов Алаверды Азизович-4,44куб.м; Филиал "Московский" ООО "Сеть Связной"-4,33куб.м</t>
  </si>
  <si>
    <t>c74c8d55-0aa8-497f-8242-5f148a4ed95d</t>
  </si>
  <si>
    <t>г.о. Зарайск, ул. Советская, д. 37 (Октябрьская, д. 25А)</t>
  </si>
  <si>
    <t>54.7589035034180</t>
  </si>
  <si>
    <t>38.8880958557129</t>
  </si>
  <si>
    <t>МКД-83,18куб.м. АО "Московское областное предприятие "Союзпечать"-0,07куб.м; Бубенчикова Виктория Владимировна-0,95куб.м; Евдокимова Любовь Владимировна-0,52куб.м; ИП Аббасов Ариф Аслан Оглы-3,89куб.м; ИП Андрашина С. А-1,14куб.м; ИП Бибиков Валерий Васильевич-1,42куб.м; ИП Краюшкин Геннадий Викторович-0,47куб.м; ИП Кусков Андрей Вячеславович-0,95куб.м; ИП Матвеева Татьяна Петровна-0,4куб.м; Кириллов Илья Сергеевич-0,47куб.м; МКУ "ЦВД ГОРОДСКОГО ОКРУГА ЗАРАЙСК МО"-0,29куб.м; Никитин Анатолий Николаевич-1,33куб.м; ООО "Монетафарм"-0,29куб.м; ООО "ТОГА"-3,76куб.м; ООО «Зарайский хлебокомбинат»-0,95куб.м; ООО «Новая Связь Восток»-0,95куб.м; Редкина Валерия Альбертовна-4,75куб.м; УПРАВЛЕНИЕ ПО ОБЕСПЕЧЕНИЮ ДЕЯТЕЛЬНОСТИ МИРОВЫХ СУДЕЙ МОСКОВСКОЙ ОБЛАСТИ-0,29куб.м; Филиал "Московский" ООО "Сеть Связной"-5,41куб.м</t>
  </si>
  <si>
    <t>baea7995-91dc-4fcd-9525-bcc3e325c806</t>
  </si>
  <si>
    <t>г.о. Зарайск, ул. Советская, д. 79</t>
  </si>
  <si>
    <t>54.7573966979980</t>
  </si>
  <si>
    <t>38.9001617431641</t>
  </si>
  <si>
    <t>МКД-105,16куб.м. ГУФССП Росии по Московской области-1,95куб.м; Емельянов Александр Владимирович-0,2куб.м; ИП Копылов А.В-0,36куб.м; Мандзий Владимир Иванович-1,95куб.м; УПРАВЛЕНИЕ ПО ОБЕСПЕЧЕНИЮ ДЕЯТЕЛЬНОСТИ МИРОВЫХ СУДЕЙ МОСКОВСКОЙ ОБЛАСТИ-0,29куб.м</t>
  </si>
  <si>
    <t>42d96d6b-030a-4942-b0e2-64e482a436e3</t>
  </si>
  <si>
    <t>г.о. Зарайск, ул. Текстильщиков, д. 27</t>
  </si>
  <si>
    <t>54.7721328735352</t>
  </si>
  <si>
    <t>38.8926239013672</t>
  </si>
  <si>
    <t xml:space="preserve">МКД-42,9куб.м. </t>
  </si>
  <si>
    <t>235741f2-34e5-49f1-8c7c-a243a5474dcd</t>
  </si>
  <si>
    <t>г.о. Зарайск, ул. Текстильщиков, д. 29</t>
  </si>
  <si>
    <t>54.7707748413086</t>
  </si>
  <si>
    <t>38.8915786743164</t>
  </si>
  <si>
    <t xml:space="preserve">МКД-46,37куб.м. </t>
  </si>
  <si>
    <t>a06bb1a3-b6d5-468f-98f7-6e3b529c82ec</t>
  </si>
  <si>
    <t>г.о. Зарайск, ул. Текстильщиков, д. 30</t>
  </si>
  <si>
    <t>54.7743339538574</t>
  </si>
  <si>
    <t>38.8913955688477</t>
  </si>
  <si>
    <t xml:space="preserve">МКД-107,84куб.м. </t>
  </si>
  <si>
    <t>e95f75b7-c88f-44b1-9256-127da4649de1</t>
  </si>
  <si>
    <t>г.о. Зарайск, ул. Текстильщиков, д. 4</t>
  </si>
  <si>
    <t>54.7734336853027</t>
  </si>
  <si>
    <t>38.8893775939941</t>
  </si>
  <si>
    <t>МКД-32,85куб.м. ИП Ханутина Татьяна Валерьевна-1,9куб.м; МАДОУ "ДЕТСКИЙ САД №9 "КРАСНАЯ ШАПОЧКА"-2,6куб.м; ПОЧТА РОССИИ АО-0,29куб.м</t>
  </si>
  <si>
    <t>ba8986c3-1592-447d-97a8-eb4ecf163a84</t>
  </si>
  <si>
    <t>г.о. Зарайск, ул. Урицкого, д. 1</t>
  </si>
  <si>
    <t>54.7642173767090</t>
  </si>
  <si>
    <t>38.8855857849121</t>
  </si>
  <si>
    <t>МКД-42,58куб.м. ООО "КВАНТ"-0,79куб.м; ООО "ПУЛЬСАР - ФАРМ"-0,29куб.м; ООО "СУРАНА"-0,07куб.м</t>
  </si>
  <si>
    <t>ffd620d1-517f-41d1-b13f-f35528af2c43</t>
  </si>
  <si>
    <t>г.о.Зарайск, ул. Сосновая</t>
  </si>
  <si>
    <t>54.7485847473145</t>
  </si>
  <si>
    <t>38.8875656127930</t>
  </si>
  <si>
    <t>8a6d7a6b-640b-40b3-a39f-9dda2379f610</t>
  </si>
  <si>
    <t>г.о.Зарайск, ул. Привокзальная, у 2й линии</t>
  </si>
  <si>
    <t>54.7681694030762</t>
  </si>
  <si>
    <t>38.8865165710449</t>
  </si>
  <si>
    <t xml:space="preserve">ИЖС-19,51куб.м. </t>
  </si>
  <si>
    <t>4878ce33-3694-4f41-83df-19352d8703cf</t>
  </si>
  <si>
    <t>г.о. Зарайск, ул. Привокзальная, д. 1 (ижс)</t>
  </si>
  <si>
    <t>54.7669181823730</t>
  </si>
  <si>
    <t>38.8824882507324</t>
  </si>
  <si>
    <t>ИЖС-89,39куб.м. Государственное казенное учреждение Московской области «Московская областная противопожарно-спасател-0,65куб.м; Монаенкова Валентина Борисовна-1,42куб.м; Осташко Сергей Григорьевич-1,9куб.м</t>
  </si>
  <si>
    <t>1ecf7ce3-1950-4423-9e61-f17ec5100384</t>
  </si>
  <si>
    <t>г.о. Зарайск, ул. Первомайская, д. 2</t>
  </si>
  <si>
    <t>54.7649879455566</t>
  </si>
  <si>
    <t>38.8746070861816</t>
  </si>
  <si>
    <t>ИЖС-91,83куб.м. ИП Галтвин Эдуард Александрович-2,55куб.м; ИПВласов Михаил Александрович-0,9куб.м; ООО "3-А ДЕНТ"-0,14куб.м; ООО «ИнтерьерСтиль»-0,36куб.м; Чатикян Артур Ваганович-1,38куб.м</t>
  </si>
  <si>
    <t>61ea17ab-1ee4-468f-b70a-ba8bece3761d</t>
  </si>
  <si>
    <t>г.о. Зарайск, ул. Правобережная, д. 5</t>
  </si>
  <si>
    <t>54.7538452148438</t>
  </si>
  <si>
    <t>38.8590736389160</t>
  </si>
  <si>
    <t xml:space="preserve">ИЖС-44,38куб.м. </t>
  </si>
  <si>
    <t>6cc004e8-1c09-4551-aef2-c767ae41f8eb</t>
  </si>
  <si>
    <t>г.о. Зарайск, ул. Рабочий поселок, 6 линия</t>
  </si>
  <si>
    <t>54.7701606750488</t>
  </si>
  <si>
    <t>38.8929977416992</t>
  </si>
  <si>
    <t>20570461-349d-442b-be67-9b35186586a8</t>
  </si>
  <si>
    <t>г.о. Зарайск, ул. Фестивальная. д. 43</t>
  </si>
  <si>
    <t>54.7790718078613</t>
  </si>
  <si>
    <t>38.8769493103027</t>
  </si>
  <si>
    <t xml:space="preserve">ИЖС-66,88куб.м. </t>
  </si>
  <si>
    <t>2db423b2-252c-4434-b968-691c14e3f288</t>
  </si>
  <si>
    <t>г.о. Зарайск, ул. Огарева</t>
  </si>
  <si>
    <t>54.7544746398926</t>
  </si>
  <si>
    <t>38.8685989379883</t>
  </si>
  <si>
    <t xml:space="preserve">ИЖС-50,73куб.м. </t>
  </si>
  <si>
    <t>e7a7f820-42d3-4e73-ad0c-5d58387fdd4e</t>
  </si>
  <si>
    <t>г.о. Зарайск, ул. Новая Стройка, д. 42</t>
  </si>
  <si>
    <t>54.7516555786133</t>
  </si>
  <si>
    <t>38.8657836914062</t>
  </si>
  <si>
    <t xml:space="preserve">ИЖС-41,94куб.м. </t>
  </si>
  <si>
    <t>2f10f562-ea45-4677-b660-8e1a8cb55b06</t>
  </si>
  <si>
    <t>г.о. Зарайск, ул. Ново-Пушкарская, 37а</t>
  </si>
  <si>
    <t>54.7495384216309</t>
  </si>
  <si>
    <t>38.8643264770508</t>
  </si>
  <si>
    <t xml:space="preserve">ИЖС-93,16куб.м. </t>
  </si>
  <si>
    <t>8cc372b3-ba53-4bea-b2cd-c9338b3f3906</t>
  </si>
  <si>
    <t>г.о. Зарайск, ул. Мерецкова, д. 11</t>
  </si>
  <si>
    <t>54.7626914978027</t>
  </si>
  <si>
    <t>38.8806304931641</t>
  </si>
  <si>
    <t>ИЖС-146,91куб.м. ГБУСО МО «Зарайский ЦСО «Рябинушка»-1,23куб.м; Зарайское управление социальной защиты населения Министерства социального развития Московской област-0,94куб.м; Махкамов З. Р.-0,26куб.м;  МЕСТНАЯ РЕЛИГИОЗНАЯ ОРГАНИЗАЦИЯ ПРАВОСЛАВНЫЙ ПРИХОД КАЗАНСКОГО  ХРАМА   Г.ЗАРАЙСКА   МОСКОВСКОЙ ОБЛА-0,36куб.м; Ручнова Елена Игоревна-0,14куб.м</t>
  </si>
  <si>
    <t>81fd5e62-2f3c-47d9-bc6b-b1c661ce30cd</t>
  </si>
  <si>
    <t>г.о. Зарайск , ул. Лесная</t>
  </si>
  <si>
    <t>54.7494926452637</t>
  </si>
  <si>
    <t xml:space="preserve">ИЖС-19,73куб.м. </t>
  </si>
  <si>
    <t>4796ebcd-79d2-4fb7-81ab-b63563244f20</t>
  </si>
  <si>
    <t>г.о. Зарайск, Белый колодец</t>
  </si>
  <si>
    <t>54.7688636779785</t>
  </si>
  <si>
    <t>38.8659667968750</t>
  </si>
  <si>
    <t>ИЖС-6,2куб.м. Бураковская Оксана Алексеевна-3,45куб.м; Шубович Татьяна Викторовна-0,07куб.м</t>
  </si>
  <si>
    <t>a993840e-4ed0-4fb8-ad3f-0fb264288682</t>
  </si>
  <si>
    <t>г.о. Зарайск, Краснопрудный переулок</t>
  </si>
  <si>
    <t>54.7560653686523</t>
  </si>
  <si>
    <t>38.8745727539062</t>
  </si>
  <si>
    <t xml:space="preserve">ИЖС-29,05куб.м. </t>
  </si>
  <si>
    <t>ac2941d3-1ad7-4307-9663-2c69614f1746</t>
  </si>
  <si>
    <t>г.о. Зарайск, пл. Пожарского, шерстобитка</t>
  </si>
  <si>
    <t>38.8726158142090</t>
  </si>
  <si>
    <t>ИЖС-35,1куб.м. МБУ "ЦИУР Г.О. ЗАРАЙСК"-0,5куб.м</t>
  </si>
  <si>
    <t>0ff41758-ab51-47b0-9b4e-2de3ae8082c9</t>
  </si>
  <si>
    <t>г.о. Зарайск, ул. Власова- Московская</t>
  </si>
  <si>
    <t>54.7783699035645</t>
  </si>
  <si>
    <t>38.8841590881348</t>
  </si>
  <si>
    <t>ИЖС-159,69куб.м. ЗАРАЙСКИЙ ДОК ООО-0,36куб.м; ИП Демин Дмитрий Николаевич-0,07куб.м</t>
  </si>
  <si>
    <t>47faad4d-6664-42b9-83bb-892fb634de1a</t>
  </si>
  <si>
    <t>г.о. Зарайск, ул. Возрождения, д. 23</t>
  </si>
  <si>
    <t>54.7734642028809</t>
  </si>
  <si>
    <t>38.8812942504883</t>
  </si>
  <si>
    <t>ИЖС-166,88куб.м. ИП Краюшкин Геннадий Викторович-0,47куб.м; ООО "Альбион-2002"-9,3куб.м</t>
  </si>
  <si>
    <t>a38fba25-81cd-43e3-915a-ad938e7e5968</t>
  </si>
  <si>
    <t>г.о. Зарайск, ул. Карла Маркса, д. 89</t>
  </si>
  <si>
    <t>54.7544898986816</t>
  </si>
  <si>
    <t>38.8768043518066</t>
  </si>
  <si>
    <t xml:space="preserve">ИЖС-37,21куб.м. </t>
  </si>
  <si>
    <t>25f87eef-2526-4302-bfbd-6dbb56a74770</t>
  </si>
  <si>
    <t>г.о. Зарайск, ул. Коммунаров, д. 29/20</t>
  </si>
  <si>
    <t>54.7523841857910</t>
  </si>
  <si>
    <t>38.8721084594727</t>
  </si>
  <si>
    <t>ИЖС-104,58куб.м. Губанов Дмитрий Викторович-0,2куб.м; Петелько Валерий Анатольевич-1,71куб.м</t>
  </si>
  <si>
    <t>470c863b-ec00-4d78-aeb0-6ef3f1798be5</t>
  </si>
  <si>
    <t>г.о. Зарайск, ул. Маяковского, д. 1</t>
  </si>
  <si>
    <t>54.7554817199707</t>
  </si>
  <si>
    <t>38.8734931945801</t>
  </si>
  <si>
    <t>ИЖС-51,14куб.м. Булатов Марат Сафарович-1,14куб.м; СПЕЦТЕХЗАПЧАСТЬ ООО-0,29куб.м</t>
  </si>
  <si>
    <t>36efcd8d-4ddf-403a-acdd-c38ffc08cb80</t>
  </si>
  <si>
    <t>г.о. Зарайск, ул. Московская, д. 15</t>
  </si>
  <si>
    <t>54.7718391418457</t>
  </si>
  <si>
    <t>38.8801765441895</t>
  </si>
  <si>
    <t xml:space="preserve">ИЖС-92,61куб.м. </t>
  </si>
  <si>
    <t>5c3c93f9-6960-49ed-9330-ef4cbdb8c39b</t>
  </si>
  <si>
    <t>г.о. Зарайск, ул. Музейная (кремль) ДОСААФ</t>
  </si>
  <si>
    <t>54.7563781738281</t>
  </si>
  <si>
    <t>38.8694992065430</t>
  </si>
  <si>
    <t>ИЖС-39,31куб.м. Государственный музей-заповедник "Зарайский кремль"-16,52куб.м; Местная религиозная организация православный приход  Никольского собора города Зарайска Московской о-0,36куб.м; ООО «Спорт-Мастер»-0,5куб.м</t>
  </si>
  <si>
    <t>75426a2f-d4b7-4189-a801-99c29ac99d90</t>
  </si>
  <si>
    <t>г.о. Зарайск, 1 Заречная улица, д. 31 а</t>
  </si>
  <si>
    <t>54.7615280151367</t>
  </si>
  <si>
    <t>38.8569908142090</t>
  </si>
  <si>
    <t xml:space="preserve">ИЖС-47,53куб.м. </t>
  </si>
  <si>
    <t>c17d2ad3-e9b1-4fd1-88c6-3907eaedb406</t>
  </si>
  <si>
    <t>г.о. Зарайск, 2 Заречная улица, д. 24</t>
  </si>
  <si>
    <t>54.7604370117188</t>
  </si>
  <si>
    <t>38.8569755554199</t>
  </si>
  <si>
    <t>ИЖС-47,56куб.м. Асадова Яна Николаевна-1,38куб.м; ИП Потемкина Ольга Викторовна-2,07куб.м</t>
  </si>
  <si>
    <t>a5d4431c-5fbc-4304-99af-e6e555480f9a</t>
  </si>
  <si>
    <t>г.о. Зарайск, 2 Набережная ул., д. 1 (25 лет Победы)</t>
  </si>
  <si>
    <t>54.7545814514160</t>
  </si>
  <si>
    <t>38.8626747131348</t>
  </si>
  <si>
    <t>ИЖС-178,43куб.м. ИП Чадина Светлана Николаевна-4,75куб.м</t>
  </si>
  <si>
    <t>Норматив накопления в год</t>
  </si>
  <si>
    <t>Итого норматив в год: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</si>
</sst>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3"/>
  <sheetViews>
    <sheetView tabSelected="1" topLeftCell="C1" workbookViewId="0">
      <selection activeCell="C1" sqref="C1:F1"/>
    </sheetView>
  </sheetViews>
  <sheetFormatPr defaultRowHeight="12.75" x14ac:dyDescent="0.2"/>
  <cols>
    <col min="1" max="1" width="5.140625" style="26" customWidth="1"/>
    <col min="2" max="2" width="18.140625" style="26" customWidth="1"/>
    <col min="3" max="3" width="38.5703125" style="26" customWidth="1"/>
    <col min="4" max="4" width="14.85546875" style="26" customWidth="1"/>
    <col min="5" max="5" width="14.42578125" style="26" customWidth="1"/>
    <col min="6" max="9" width="9.140625" style="26"/>
    <col min="10" max="10" width="16.42578125" style="26" customWidth="1"/>
    <col min="11" max="13" width="9.140625" style="26"/>
    <col min="14" max="14" width="62.28515625" style="26" customWidth="1"/>
    <col min="15" max="15" width="10.140625" style="26" customWidth="1"/>
    <col min="16" max="16384" width="9.140625" style="26"/>
  </cols>
  <sheetData>
    <row r="1" spans="1:15" s="5" customFormat="1" ht="75.75" customHeight="1" x14ac:dyDescent="0.2">
      <c r="A1" s="11"/>
      <c r="B1" s="12"/>
      <c r="C1" s="13" t="s">
        <v>17</v>
      </c>
      <c r="D1" s="13"/>
      <c r="E1" s="13"/>
      <c r="F1" s="13"/>
      <c r="G1" s="14"/>
      <c r="H1" s="14"/>
      <c r="I1" s="11"/>
      <c r="J1" s="14"/>
      <c r="L1" s="15"/>
      <c r="M1" s="16" t="s">
        <v>16</v>
      </c>
      <c r="N1" s="16"/>
      <c r="O1" s="11"/>
    </row>
    <row r="2" spans="1:15" s="5" customFormat="1" ht="27.6" customHeight="1" x14ac:dyDescent="0.2">
      <c r="A2" s="11"/>
      <c r="B2" s="12"/>
      <c r="C2" s="14"/>
      <c r="D2" s="17" t="s">
        <v>15</v>
      </c>
      <c r="E2" s="17"/>
      <c r="F2" s="17"/>
      <c r="G2" s="17"/>
      <c r="H2" s="17"/>
      <c r="I2" s="17"/>
      <c r="J2" s="17"/>
      <c r="K2" s="17"/>
      <c r="L2" s="17"/>
      <c r="M2" s="17"/>
      <c r="N2" s="14"/>
      <c r="O2" s="11"/>
    </row>
    <row r="3" spans="1:15" s="5" customFormat="1" ht="14.45" customHeight="1" x14ac:dyDescent="0.2">
      <c r="A3" s="6" t="s">
        <v>14</v>
      </c>
      <c r="B3" s="6" t="s">
        <v>13</v>
      </c>
      <c r="C3" s="6" t="s">
        <v>12</v>
      </c>
      <c r="D3" s="6" t="s">
        <v>11</v>
      </c>
      <c r="E3" s="6" t="s">
        <v>10</v>
      </c>
      <c r="F3" s="6" t="s">
        <v>9</v>
      </c>
      <c r="G3" s="8" t="s">
        <v>8</v>
      </c>
      <c r="H3" s="8" t="s">
        <v>7</v>
      </c>
      <c r="I3" s="6" t="s">
        <v>6</v>
      </c>
      <c r="J3" s="6"/>
      <c r="K3" s="18"/>
      <c r="L3" s="18"/>
      <c r="M3" s="6" t="s">
        <v>5</v>
      </c>
      <c r="N3" s="6" t="s">
        <v>4</v>
      </c>
      <c r="O3" s="6" t="s">
        <v>1343</v>
      </c>
    </row>
    <row r="4" spans="1:15" s="5" customFormat="1" ht="69" customHeight="1" x14ac:dyDescent="0.2">
      <c r="A4" s="6"/>
      <c r="B4" s="6"/>
      <c r="C4" s="6"/>
      <c r="D4" s="6"/>
      <c r="E4" s="6"/>
      <c r="F4" s="6"/>
      <c r="G4" s="9"/>
      <c r="H4" s="9"/>
      <c r="I4" s="2" t="s">
        <v>3</v>
      </c>
      <c r="J4" s="2" t="s">
        <v>2</v>
      </c>
      <c r="K4" s="19" t="s">
        <v>1</v>
      </c>
      <c r="L4" s="19" t="s">
        <v>0</v>
      </c>
      <c r="M4" s="6"/>
      <c r="N4" s="6"/>
      <c r="O4" s="6"/>
    </row>
    <row r="5" spans="1:15" s="5" customFormat="1" ht="14.45" customHeight="1" x14ac:dyDescent="0.2">
      <c r="A5" s="6">
        <v>1</v>
      </c>
      <c r="B5" s="7" t="s">
        <v>1018</v>
      </c>
      <c r="C5" s="6" t="s">
        <v>1019</v>
      </c>
      <c r="D5" s="6" t="s">
        <v>1020</v>
      </c>
      <c r="E5" s="6" t="s">
        <v>1021</v>
      </c>
      <c r="F5" s="6" t="s">
        <v>826</v>
      </c>
      <c r="G5" s="8" t="s">
        <v>23</v>
      </c>
      <c r="H5" s="8">
        <v>18</v>
      </c>
      <c r="I5" s="2" t="s">
        <v>130</v>
      </c>
      <c r="J5" s="2" t="s">
        <v>131</v>
      </c>
      <c r="K5" s="4">
        <v>8</v>
      </c>
      <c r="L5" s="4">
        <v>1</v>
      </c>
      <c r="M5" s="2">
        <v>8</v>
      </c>
      <c r="N5" s="10" t="s">
        <v>1022</v>
      </c>
      <c r="O5" s="6">
        <f>128.13*12+0.07*12+4.25*12+1.62*12+15.39*12+1.33*12+0.13*12+0.72*12+0.29*12+0.36*12+0.34*12</f>
        <v>1831.56</v>
      </c>
    </row>
    <row r="6" spans="1:15" s="5" customFormat="1" x14ac:dyDescent="0.2">
      <c r="A6" s="6"/>
      <c r="B6" s="7"/>
      <c r="C6" s="6"/>
      <c r="D6" s="6"/>
      <c r="E6" s="6"/>
      <c r="F6" s="6"/>
      <c r="G6" s="20"/>
      <c r="H6" s="20"/>
      <c r="I6" s="2" t="s">
        <v>24</v>
      </c>
      <c r="J6" s="2" t="s">
        <v>25</v>
      </c>
      <c r="K6" s="4">
        <v>0.9</v>
      </c>
      <c r="L6" s="4">
        <v>1</v>
      </c>
      <c r="M6" s="2">
        <v>0.9</v>
      </c>
      <c r="N6" s="10"/>
      <c r="O6" s="6"/>
    </row>
    <row r="7" spans="1:15" s="5" customFormat="1" ht="69" customHeight="1" x14ac:dyDescent="0.2">
      <c r="A7" s="6"/>
      <c r="B7" s="7"/>
      <c r="C7" s="6"/>
      <c r="D7" s="6"/>
      <c r="E7" s="6"/>
      <c r="F7" s="6"/>
      <c r="G7" s="9"/>
      <c r="H7" s="9"/>
      <c r="I7" s="2" t="s">
        <v>27</v>
      </c>
      <c r="J7" s="2" t="s">
        <v>28</v>
      </c>
      <c r="K7" s="4">
        <v>1.1000000000000001</v>
      </c>
      <c r="L7" s="4">
        <v>4</v>
      </c>
      <c r="M7" s="2">
        <v>4.4000000000000004</v>
      </c>
      <c r="N7" s="10"/>
      <c r="O7" s="6"/>
    </row>
    <row r="8" spans="1:15" s="5" customFormat="1" ht="14.45" customHeight="1" x14ac:dyDescent="0.2">
      <c r="A8" s="6">
        <v>2</v>
      </c>
      <c r="B8" s="7" t="s">
        <v>1023</v>
      </c>
      <c r="C8" s="6" t="s">
        <v>1024</v>
      </c>
      <c r="D8" s="6" t="s">
        <v>1025</v>
      </c>
      <c r="E8" s="6" t="s">
        <v>1026</v>
      </c>
      <c r="F8" s="6" t="s">
        <v>826</v>
      </c>
      <c r="G8" s="8" t="s">
        <v>23</v>
      </c>
      <c r="H8" s="8">
        <v>13</v>
      </c>
      <c r="I8" s="2" t="s">
        <v>24</v>
      </c>
      <c r="J8" s="2" t="s">
        <v>25</v>
      </c>
      <c r="K8" s="4">
        <v>0.9</v>
      </c>
      <c r="L8" s="4">
        <v>2</v>
      </c>
      <c r="M8" s="2">
        <v>1.8</v>
      </c>
      <c r="N8" s="10" t="s">
        <v>1027</v>
      </c>
      <c r="O8" s="6">
        <f>130.51*12+0.95*12+1.14*12+1.23*12+0.95*12+1.9*12+0.29*12+0.07*12+3.8*12+0.58*12+0.95*12+0.07*12</f>
        <v>1709.28</v>
      </c>
    </row>
    <row r="9" spans="1:15" s="5" customFormat="1" ht="81.75" customHeight="1" x14ac:dyDescent="0.2">
      <c r="A9" s="6"/>
      <c r="B9" s="7"/>
      <c r="C9" s="6"/>
      <c r="D9" s="6"/>
      <c r="E9" s="6"/>
      <c r="F9" s="6"/>
      <c r="G9" s="9"/>
      <c r="H9" s="9"/>
      <c r="I9" s="2" t="s">
        <v>27</v>
      </c>
      <c r="J9" s="2" t="s">
        <v>28</v>
      </c>
      <c r="K9" s="4">
        <v>1.1000000000000001</v>
      </c>
      <c r="L9" s="4">
        <v>4</v>
      </c>
      <c r="M9" s="2">
        <v>4.4000000000000004</v>
      </c>
      <c r="N9" s="10"/>
      <c r="O9" s="6"/>
    </row>
    <row r="10" spans="1:15" s="5" customFormat="1" ht="14.45" customHeight="1" x14ac:dyDescent="0.2">
      <c r="A10" s="6">
        <v>3</v>
      </c>
      <c r="B10" s="7" t="s">
        <v>1028</v>
      </c>
      <c r="C10" s="6" t="s">
        <v>1029</v>
      </c>
      <c r="D10" s="6" t="s">
        <v>1030</v>
      </c>
      <c r="E10" s="6" t="s">
        <v>1031</v>
      </c>
      <c r="F10" s="6" t="s">
        <v>826</v>
      </c>
      <c r="G10" s="8" t="s">
        <v>23</v>
      </c>
      <c r="H10" s="8">
        <v>13</v>
      </c>
      <c r="I10" s="2" t="s">
        <v>130</v>
      </c>
      <c r="J10" s="2" t="s">
        <v>131</v>
      </c>
      <c r="K10" s="4">
        <v>8</v>
      </c>
      <c r="L10" s="4">
        <v>1</v>
      </c>
      <c r="M10" s="2">
        <v>8</v>
      </c>
      <c r="N10" s="10" t="s">
        <v>1032</v>
      </c>
      <c r="O10" s="6">
        <f>138.72*12+0.36*12+0.13*12+0.76*12+4.27*12+1.99*12+0.66*12+0.76*12+5.94*12</f>
        <v>1843.0799999999997</v>
      </c>
    </row>
    <row r="11" spans="1:15" s="5" customFormat="1" x14ac:dyDescent="0.2">
      <c r="A11" s="6"/>
      <c r="B11" s="7"/>
      <c r="C11" s="6"/>
      <c r="D11" s="6"/>
      <c r="E11" s="6"/>
      <c r="F11" s="6"/>
      <c r="G11" s="20"/>
      <c r="H11" s="20"/>
      <c r="I11" s="2" t="s">
        <v>24</v>
      </c>
      <c r="J11" s="2" t="s">
        <v>25</v>
      </c>
      <c r="K11" s="4">
        <v>0.9</v>
      </c>
      <c r="L11" s="4">
        <v>1</v>
      </c>
      <c r="M11" s="2">
        <v>0.9</v>
      </c>
      <c r="N11" s="10"/>
      <c r="O11" s="6"/>
    </row>
    <row r="12" spans="1:15" s="5" customFormat="1" ht="54" customHeight="1" x14ac:dyDescent="0.2">
      <c r="A12" s="6"/>
      <c r="B12" s="7"/>
      <c r="C12" s="6"/>
      <c r="D12" s="6"/>
      <c r="E12" s="6"/>
      <c r="F12" s="6"/>
      <c r="G12" s="9"/>
      <c r="H12" s="9"/>
      <c r="I12" s="2" t="s">
        <v>27</v>
      </c>
      <c r="J12" s="2" t="s">
        <v>28</v>
      </c>
      <c r="K12" s="4">
        <v>1.1000000000000001</v>
      </c>
      <c r="L12" s="4">
        <v>4</v>
      </c>
      <c r="M12" s="2">
        <v>4.4000000000000004</v>
      </c>
      <c r="N12" s="10"/>
      <c r="O12" s="6"/>
    </row>
    <row r="13" spans="1:15" s="5" customFormat="1" ht="14.45" customHeight="1" x14ac:dyDescent="0.2">
      <c r="A13" s="6">
        <v>4</v>
      </c>
      <c r="B13" s="7" t="s">
        <v>1033</v>
      </c>
      <c r="C13" s="6" t="s">
        <v>1034</v>
      </c>
      <c r="D13" s="6" t="s">
        <v>1035</v>
      </c>
      <c r="E13" s="6" t="s">
        <v>1036</v>
      </c>
      <c r="F13" s="6" t="s">
        <v>826</v>
      </c>
      <c r="G13" s="8" t="s">
        <v>23</v>
      </c>
      <c r="H13" s="8">
        <v>20</v>
      </c>
      <c r="I13" s="2" t="s">
        <v>24</v>
      </c>
      <c r="J13" s="2" t="s">
        <v>25</v>
      </c>
      <c r="K13" s="4">
        <v>0.9</v>
      </c>
      <c r="L13" s="4">
        <v>2</v>
      </c>
      <c r="M13" s="2">
        <v>1.8</v>
      </c>
      <c r="N13" s="10" t="s">
        <v>1037</v>
      </c>
      <c r="O13" s="6">
        <f>173.2*12+1.47*12+0.85*12+1.47*12+0.14*12+0.38*12</f>
        <v>2130.119999999999</v>
      </c>
    </row>
    <row r="14" spans="1:15" s="5" customFormat="1" ht="26.25" customHeight="1" x14ac:dyDescent="0.2">
      <c r="A14" s="6"/>
      <c r="B14" s="7"/>
      <c r="C14" s="6"/>
      <c r="D14" s="6"/>
      <c r="E14" s="6"/>
      <c r="F14" s="6"/>
      <c r="G14" s="9"/>
      <c r="H14" s="9"/>
      <c r="I14" s="2" t="s">
        <v>27</v>
      </c>
      <c r="J14" s="2" t="s">
        <v>28</v>
      </c>
      <c r="K14" s="4">
        <v>1.1000000000000001</v>
      </c>
      <c r="L14" s="4">
        <v>5</v>
      </c>
      <c r="M14" s="2">
        <v>5.5</v>
      </c>
      <c r="N14" s="10"/>
      <c r="O14" s="6"/>
    </row>
    <row r="15" spans="1:15" s="5" customFormat="1" ht="14.45" customHeight="1" x14ac:dyDescent="0.2">
      <c r="A15" s="6">
        <v>5</v>
      </c>
      <c r="B15" s="7" t="s">
        <v>1038</v>
      </c>
      <c r="C15" s="6" t="s">
        <v>1039</v>
      </c>
      <c r="D15" s="6" t="s">
        <v>1040</v>
      </c>
      <c r="E15" s="6" t="s">
        <v>1041</v>
      </c>
      <c r="F15" s="6" t="s">
        <v>826</v>
      </c>
      <c r="G15" s="8" t="s">
        <v>23</v>
      </c>
      <c r="H15" s="8">
        <v>21</v>
      </c>
      <c r="I15" s="2" t="s">
        <v>24</v>
      </c>
      <c r="J15" s="2" t="s">
        <v>25</v>
      </c>
      <c r="K15" s="4">
        <v>0.9</v>
      </c>
      <c r="L15" s="4">
        <v>1</v>
      </c>
      <c r="M15" s="2">
        <v>0.9</v>
      </c>
      <c r="N15" s="10" t="s">
        <v>1042</v>
      </c>
      <c r="O15" s="6">
        <f>189.14*12+1.14*12+1.59*12+3.7*12</f>
        <v>2346.8399999999997</v>
      </c>
    </row>
    <row r="16" spans="1:15" s="5" customFormat="1" ht="26.25" customHeight="1" x14ac:dyDescent="0.2">
      <c r="A16" s="6"/>
      <c r="B16" s="7"/>
      <c r="C16" s="6"/>
      <c r="D16" s="6"/>
      <c r="E16" s="6"/>
      <c r="F16" s="6"/>
      <c r="G16" s="9"/>
      <c r="H16" s="9"/>
      <c r="I16" s="2" t="s">
        <v>27</v>
      </c>
      <c r="J16" s="2" t="s">
        <v>28</v>
      </c>
      <c r="K16" s="4">
        <v>1.1000000000000001</v>
      </c>
      <c r="L16" s="4">
        <v>6</v>
      </c>
      <c r="M16" s="2">
        <v>6.6000000000000005</v>
      </c>
      <c r="N16" s="10"/>
      <c r="O16" s="6"/>
    </row>
    <row r="17" spans="1:15" s="5" customFormat="1" ht="14.45" customHeight="1" x14ac:dyDescent="0.2">
      <c r="A17" s="6">
        <v>6</v>
      </c>
      <c r="B17" s="7" t="s">
        <v>1043</v>
      </c>
      <c r="C17" s="6" t="s">
        <v>1044</v>
      </c>
      <c r="D17" s="6" t="s">
        <v>1045</v>
      </c>
      <c r="E17" s="6" t="s">
        <v>1046</v>
      </c>
      <c r="F17" s="6" t="s">
        <v>826</v>
      </c>
      <c r="G17" s="8" t="s">
        <v>23</v>
      </c>
      <c r="H17" s="8">
        <v>22</v>
      </c>
      <c r="I17" s="2" t="s">
        <v>130</v>
      </c>
      <c r="J17" s="2" t="s">
        <v>131</v>
      </c>
      <c r="K17" s="4">
        <v>8</v>
      </c>
      <c r="L17" s="4">
        <v>1</v>
      </c>
      <c r="M17" s="2">
        <v>8</v>
      </c>
      <c r="N17" s="10" t="s">
        <v>1047</v>
      </c>
      <c r="O17" s="6">
        <f>127.73*12+1.39*12+0.13*12+2.58*12+2.58*12+0.65*12+2.85*12+0.43*12+0.29*12+0.57*12+1.14*12</f>
        <v>1684.0800000000002</v>
      </c>
    </row>
    <row r="18" spans="1:15" s="5" customFormat="1" x14ac:dyDescent="0.2">
      <c r="A18" s="6"/>
      <c r="B18" s="7"/>
      <c r="C18" s="6"/>
      <c r="D18" s="6"/>
      <c r="E18" s="6"/>
      <c r="F18" s="6"/>
      <c r="G18" s="20"/>
      <c r="H18" s="20"/>
      <c r="I18" s="2" t="s">
        <v>24</v>
      </c>
      <c r="J18" s="2" t="s">
        <v>25</v>
      </c>
      <c r="K18" s="4">
        <v>0.9</v>
      </c>
      <c r="L18" s="4">
        <v>1</v>
      </c>
      <c r="M18" s="2">
        <v>0.9</v>
      </c>
      <c r="N18" s="10"/>
      <c r="O18" s="6"/>
    </row>
    <row r="19" spans="1:15" s="5" customFormat="1" ht="57.75" customHeight="1" x14ac:dyDescent="0.2">
      <c r="A19" s="6"/>
      <c r="B19" s="7"/>
      <c r="C19" s="6"/>
      <c r="D19" s="6"/>
      <c r="E19" s="6"/>
      <c r="F19" s="6"/>
      <c r="G19" s="9"/>
      <c r="H19" s="9"/>
      <c r="I19" s="2" t="s">
        <v>27</v>
      </c>
      <c r="J19" s="2" t="s">
        <v>28</v>
      </c>
      <c r="K19" s="4">
        <v>1.1000000000000001</v>
      </c>
      <c r="L19" s="4">
        <v>4</v>
      </c>
      <c r="M19" s="2">
        <v>4.4000000000000004</v>
      </c>
      <c r="N19" s="10"/>
      <c r="O19" s="6"/>
    </row>
    <row r="20" spans="1:15" s="5" customFormat="1" ht="14.45" customHeight="1" x14ac:dyDescent="0.2">
      <c r="A20" s="6">
        <v>7</v>
      </c>
      <c r="B20" s="7" t="s">
        <v>1048</v>
      </c>
      <c r="C20" s="6" t="s">
        <v>1049</v>
      </c>
      <c r="D20" s="6" t="s">
        <v>1050</v>
      </c>
      <c r="E20" s="6" t="s">
        <v>1051</v>
      </c>
      <c r="F20" s="6" t="s">
        <v>826</v>
      </c>
      <c r="G20" s="8" t="s">
        <v>23</v>
      </c>
      <c r="H20" s="8">
        <v>16</v>
      </c>
      <c r="I20" s="2" t="s">
        <v>24</v>
      </c>
      <c r="J20" s="2" t="s">
        <v>25</v>
      </c>
      <c r="K20" s="4">
        <v>0.9</v>
      </c>
      <c r="L20" s="4">
        <v>1</v>
      </c>
      <c r="M20" s="2">
        <v>0.9</v>
      </c>
      <c r="N20" s="10" t="s">
        <v>1052</v>
      </c>
      <c r="O20" s="6">
        <f>131.15*12+0.52*12</f>
        <v>1580.0400000000002</v>
      </c>
    </row>
    <row r="21" spans="1:15" s="5" customFormat="1" x14ac:dyDescent="0.2">
      <c r="A21" s="6"/>
      <c r="B21" s="7"/>
      <c r="C21" s="6"/>
      <c r="D21" s="6"/>
      <c r="E21" s="6"/>
      <c r="F21" s="6"/>
      <c r="G21" s="9"/>
      <c r="H21" s="9"/>
      <c r="I21" s="2" t="s">
        <v>27</v>
      </c>
      <c r="J21" s="2" t="s">
        <v>28</v>
      </c>
      <c r="K21" s="4">
        <v>1.1000000000000001</v>
      </c>
      <c r="L21" s="4">
        <v>4</v>
      </c>
      <c r="M21" s="2">
        <v>4.4000000000000004</v>
      </c>
      <c r="N21" s="10"/>
      <c r="O21" s="6"/>
    </row>
    <row r="22" spans="1:15" s="5" customFormat="1" ht="14.45" customHeight="1" x14ac:dyDescent="0.2">
      <c r="A22" s="6">
        <v>8</v>
      </c>
      <c r="B22" s="7" t="s">
        <v>1053</v>
      </c>
      <c r="C22" s="6" t="s">
        <v>1054</v>
      </c>
      <c r="D22" s="6" t="s">
        <v>1055</v>
      </c>
      <c r="E22" s="6" t="s">
        <v>1056</v>
      </c>
      <c r="F22" s="6" t="s">
        <v>826</v>
      </c>
      <c r="G22" s="8" t="s">
        <v>23</v>
      </c>
      <c r="H22" s="8">
        <v>27</v>
      </c>
      <c r="I22" s="2" t="s">
        <v>24</v>
      </c>
      <c r="J22" s="2" t="s">
        <v>25</v>
      </c>
      <c r="K22" s="4">
        <v>0.9</v>
      </c>
      <c r="L22" s="4">
        <v>2</v>
      </c>
      <c r="M22" s="2">
        <v>1.8</v>
      </c>
      <c r="N22" s="10" t="s">
        <v>1057</v>
      </c>
      <c r="O22" s="6">
        <f>171.4*12+4.56*12+0.07*12</f>
        <v>2112.36</v>
      </c>
    </row>
    <row r="23" spans="1:15" s="5" customFormat="1" ht="12.75" customHeight="1" x14ac:dyDescent="0.2">
      <c r="A23" s="6"/>
      <c r="B23" s="7"/>
      <c r="C23" s="6"/>
      <c r="D23" s="6"/>
      <c r="E23" s="6"/>
      <c r="F23" s="6"/>
      <c r="G23" s="9"/>
      <c r="H23" s="9"/>
      <c r="I23" s="2" t="s">
        <v>27</v>
      </c>
      <c r="J23" s="2" t="s">
        <v>28</v>
      </c>
      <c r="K23" s="4">
        <v>1.1000000000000001</v>
      </c>
      <c r="L23" s="4">
        <v>4</v>
      </c>
      <c r="M23" s="2">
        <v>4.4000000000000004</v>
      </c>
      <c r="N23" s="10"/>
      <c r="O23" s="6"/>
    </row>
    <row r="24" spans="1:15" s="5" customFormat="1" ht="14.45" customHeight="1" x14ac:dyDescent="0.2">
      <c r="A24" s="6">
        <v>9</v>
      </c>
      <c r="B24" s="7" t="s">
        <v>1058</v>
      </c>
      <c r="C24" s="6" t="s">
        <v>1059</v>
      </c>
      <c r="D24" s="6" t="s">
        <v>1060</v>
      </c>
      <c r="E24" s="6" t="s">
        <v>1061</v>
      </c>
      <c r="F24" s="6" t="s">
        <v>826</v>
      </c>
      <c r="G24" s="8" t="s">
        <v>23</v>
      </c>
      <c r="H24" s="8">
        <v>18</v>
      </c>
      <c r="I24" s="2" t="s">
        <v>130</v>
      </c>
      <c r="J24" s="2" t="s">
        <v>131</v>
      </c>
      <c r="K24" s="4">
        <v>8</v>
      </c>
      <c r="L24" s="4">
        <v>1</v>
      </c>
      <c r="M24" s="2">
        <v>8</v>
      </c>
      <c r="N24" s="10" t="s">
        <v>1062</v>
      </c>
      <c r="O24" s="6">
        <f>182.04*12+0.13*12+0.47*12+1.14*12</f>
        <v>2205.3599999999997</v>
      </c>
    </row>
    <row r="25" spans="1:15" s="5" customFormat="1" x14ac:dyDescent="0.2">
      <c r="A25" s="6"/>
      <c r="B25" s="7"/>
      <c r="C25" s="6"/>
      <c r="D25" s="6"/>
      <c r="E25" s="6"/>
      <c r="F25" s="6"/>
      <c r="G25" s="20"/>
      <c r="H25" s="20"/>
      <c r="I25" s="2" t="s">
        <v>24</v>
      </c>
      <c r="J25" s="2" t="s">
        <v>25</v>
      </c>
      <c r="K25" s="4">
        <v>0.9</v>
      </c>
      <c r="L25" s="4">
        <v>1</v>
      </c>
      <c r="M25" s="2">
        <v>0.9</v>
      </c>
      <c r="N25" s="10"/>
      <c r="O25" s="6"/>
    </row>
    <row r="26" spans="1:15" s="5" customFormat="1" ht="12" customHeight="1" x14ac:dyDescent="0.2">
      <c r="A26" s="6"/>
      <c r="B26" s="7"/>
      <c r="C26" s="6"/>
      <c r="D26" s="6"/>
      <c r="E26" s="6"/>
      <c r="F26" s="6"/>
      <c r="G26" s="9"/>
      <c r="H26" s="9"/>
      <c r="I26" s="2" t="s">
        <v>27</v>
      </c>
      <c r="J26" s="2" t="s">
        <v>28</v>
      </c>
      <c r="K26" s="4">
        <v>1.1000000000000001</v>
      </c>
      <c r="L26" s="4">
        <v>5</v>
      </c>
      <c r="M26" s="2">
        <v>5.5</v>
      </c>
      <c r="N26" s="10"/>
      <c r="O26" s="6"/>
    </row>
    <row r="27" spans="1:15" s="5" customFormat="1" ht="14.45" customHeight="1" x14ac:dyDescent="0.2">
      <c r="A27" s="6">
        <v>10</v>
      </c>
      <c r="B27" s="7" t="s">
        <v>1063</v>
      </c>
      <c r="C27" s="6" t="s">
        <v>1064</v>
      </c>
      <c r="D27" s="6" t="s">
        <v>1065</v>
      </c>
      <c r="E27" s="6" t="s">
        <v>1066</v>
      </c>
      <c r="F27" s="6" t="s">
        <v>826</v>
      </c>
      <c r="G27" s="8" t="s">
        <v>23</v>
      </c>
      <c r="H27" s="8">
        <v>18</v>
      </c>
      <c r="I27" s="2" t="s">
        <v>24</v>
      </c>
      <c r="J27" s="2" t="s">
        <v>25</v>
      </c>
      <c r="K27" s="4">
        <v>0.9</v>
      </c>
      <c r="L27" s="4">
        <v>1</v>
      </c>
      <c r="M27" s="2">
        <v>0.9</v>
      </c>
      <c r="N27" s="10" t="s">
        <v>1067</v>
      </c>
      <c r="O27" s="6">
        <f>155.55*12+0.47*12+0.07*12+1.04*12+0.87*12+0.76*12+0.36*12+0.94*12+0.66*12</f>
        <v>1928.64</v>
      </c>
    </row>
    <row r="28" spans="1:15" s="5" customFormat="1" ht="69" customHeight="1" x14ac:dyDescent="0.2">
      <c r="A28" s="6"/>
      <c r="B28" s="7"/>
      <c r="C28" s="6"/>
      <c r="D28" s="6"/>
      <c r="E28" s="6"/>
      <c r="F28" s="6"/>
      <c r="G28" s="9"/>
      <c r="H28" s="9"/>
      <c r="I28" s="2" t="s">
        <v>27</v>
      </c>
      <c r="J28" s="2" t="s">
        <v>28</v>
      </c>
      <c r="K28" s="4">
        <v>1.1000000000000001</v>
      </c>
      <c r="L28" s="4">
        <v>5</v>
      </c>
      <c r="M28" s="2">
        <v>5.5</v>
      </c>
      <c r="N28" s="10"/>
      <c r="O28" s="6"/>
    </row>
    <row r="29" spans="1:15" s="5" customFormat="1" ht="14.45" customHeight="1" x14ac:dyDescent="0.2">
      <c r="A29" s="6">
        <v>11</v>
      </c>
      <c r="B29" s="7" t="s">
        <v>1279</v>
      </c>
      <c r="C29" s="6" t="s">
        <v>1280</v>
      </c>
      <c r="D29" s="6" t="s">
        <v>1281</v>
      </c>
      <c r="E29" s="6" t="s">
        <v>1282</v>
      </c>
      <c r="F29" s="6" t="s">
        <v>22</v>
      </c>
      <c r="G29" s="8" t="s">
        <v>23</v>
      </c>
      <c r="H29" s="8">
        <v>15</v>
      </c>
      <c r="I29" s="2" t="s">
        <v>24</v>
      </c>
      <c r="J29" s="2" t="s">
        <v>25</v>
      </c>
      <c r="K29" s="4">
        <v>0.9</v>
      </c>
      <c r="L29" s="4">
        <v>1</v>
      </c>
      <c r="M29" s="2">
        <v>0.9</v>
      </c>
      <c r="N29" s="10" t="s">
        <v>1283</v>
      </c>
      <c r="O29" s="6">
        <f>6.2*12+3.45*12+0.07*12</f>
        <v>116.64000000000001</v>
      </c>
    </row>
    <row r="30" spans="1:15" s="5" customFormat="1" ht="13.5" customHeight="1" x14ac:dyDescent="0.2">
      <c r="A30" s="6"/>
      <c r="B30" s="7"/>
      <c r="C30" s="6"/>
      <c r="D30" s="6"/>
      <c r="E30" s="6"/>
      <c r="F30" s="6"/>
      <c r="G30" s="9"/>
      <c r="H30" s="9"/>
      <c r="I30" s="2" t="s">
        <v>27</v>
      </c>
      <c r="J30" s="2" t="s">
        <v>28</v>
      </c>
      <c r="K30" s="4">
        <v>1.1000000000000001</v>
      </c>
      <c r="L30" s="4">
        <v>1</v>
      </c>
      <c r="M30" s="2">
        <v>1.1000000000000001</v>
      </c>
      <c r="N30" s="10"/>
      <c r="O30" s="6"/>
    </row>
    <row r="31" spans="1:15" s="5" customFormat="1" ht="14.45" customHeight="1" x14ac:dyDescent="0.2">
      <c r="A31" s="6">
        <v>12</v>
      </c>
      <c r="B31" s="7" t="s">
        <v>1293</v>
      </c>
      <c r="C31" s="6" t="s">
        <v>1294</v>
      </c>
      <c r="D31" s="6" t="s">
        <v>1295</v>
      </c>
      <c r="E31" s="6" t="s">
        <v>1296</v>
      </c>
      <c r="F31" s="6" t="s">
        <v>22</v>
      </c>
      <c r="G31" s="8" t="s">
        <v>23</v>
      </c>
      <c r="H31" s="8">
        <v>30</v>
      </c>
      <c r="I31" s="2" t="s">
        <v>130</v>
      </c>
      <c r="J31" s="2" t="s">
        <v>131</v>
      </c>
      <c r="K31" s="4">
        <v>8</v>
      </c>
      <c r="L31" s="4">
        <v>1</v>
      </c>
      <c r="M31" s="2">
        <v>8</v>
      </c>
      <c r="N31" s="10" t="s">
        <v>1297</v>
      </c>
      <c r="O31" s="6">
        <f>159.69*12+0.36*12+0.07*12</f>
        <v>1921.4399999999998</v>
      </c>
    </row>
    <row r="32" spans="1:15" s="5" customFormat="1" x14ac:dyDescent="0.2">
      <c r="A32" s="6"/>
      <c r="B32" s="7"/>
      <c r="C32" s="6"/>
      <c r="D32" s="6"/>
      <c r="E32" s="6"/>
      <c r="F32" s="6"/>
      <c r="G32" s="20"/>
      <c r="H32" s="20"/>
      <c r="I32" s="2" t="s">
        <v>24</v>
      </c>
      <c r="J32" s="2" t="s">
        <v>25</v>
      </c>
      <c r="K32" s="4">
        <v>0.9</v>
      </c>
      <c r="L32" s="4">
        <v>1</v>
      </c>
      <c r="M32" s="2">
        <v>0.9</v>
      </c>
      <c r="N32" s="10"/>
      <c r="O32" s="6"/>
    </row>
    <row r="33" spans="1:15" s="5" customFormat="1" x14ac:dyDescent="0.2">
      <c r="A33" s="6"/>
      <c r="B33" s="7"/>
      <c r="C33" s="6"/>
      <c r="D33" s="6"/>
      <c r="E33" s="6"/>
      <c r="F33" s="6"/>
      <c r="G33" s="9"/>
      <c r="H33" s="9"/>
      <c r="I33" s="2" t="s">
        <v>27</v>
      </c>
      <c r="J33" s="2" t="s">
        <v>28</v>
      </c>
      <c r="K33" s="4">
        <v>1.1000000000000001</v>
      </c>
      <c r="L33" s="4">
        <v>4</v>
      </c>
      <c r="M33" s="2">
        <v>4.4000000000000004</v>
      </c>
      <c r="N33" s="10"/>
      <c r="O33" s="6"/>
    </row>
    <row r="34" spans="1:15" s="5" customFormat="1" ht="14.45" customHeight="1" x14ac:dyDescent="0.2">
      <c r="A34" s="6">
        <v>13</v>
      </c>
      <c r="B34" s="7" t="s">
        <v>1298</v>
      </c>
      <c r="C34" s="6" t="s">
        <v>1299</v>
      </c>
      <c r="D34" s="6" t="s">
        <v>1300</v>
      </c>
      <c r="E34" s="6" t="s">
        <v>1301</v>
      </c>
      <c r="F34" s="6" t="s">
        <v>22</v>
      </c>
      <c r="G34" s="8" t="s">
        <v>23</v>
      </c>
      <c r="H34" s="8">
        <v>27</v>
      </c>
      <c r="I34" s="2" t="s">
        <v>130</v>
      </c>
      <c r="J34" s="2" t="s">
        <v>131</v>
      </c>
      <c r="K34" s="4">
        <v>8</v>
      </c>
      <c r="L34" s="4">
        <v>1</v>
      </c>
      <c r="M34" s="2">
        <v>8</v>
      </c>
      <c r="N34" s="10" t="s">
        <v>1302</v>
      </c>
      <c r="O34" s="6">
        <f>166.88*12+0.47*12+9.3*12</f>
        <v>2119.8000000000002</v>
      </c>
    </row>
    <row r="35" spans="1:15" s="5" customFormat="1" x14ac:dyDescent="0.2">
      <c r="A35" s="6"/>
      <c r="B35" s="7"/>
      <c r="C35" s="6"/>
      <c r="D35" s="6"/>
      <c r="E35" s="6"/>
      <c r="F35" s="6"/>
      <c r="G35" s="20"/>
      <c r="H35" s="20"/>
      <c r="I35" s="2" t="s">
        <v>24</v>
      </c>
      <c r="J35" s="2" t="s">
        <v>25</v>
      </c>
      <c r="K35" s="4">
        <v>0.9</v>
      </c>
      <c r="L35" s="4">
        <v>1</v>
      </c>
      <c r="M35" s="2">
        <v>0.9</v>
      </c>
      <c r="N35" s="10"/>
      <c r="O35" s="6"/>
    </row>
    <row r="36" spans="1:15" s="5" customFormat="1" x14ac:dyDescent="0.2">
      <c r="A36" s="6"/>
      <c r="B36" s="7"/>
      <c r="C36" s="6"/>
      <c r="D36" s="6"/>
      <c r="E36" s="6"/>
      <c r="F36" s="6"/>
      <c r="G36" s="9"/>
      <c r="H36" s="9"/>
      <c r="I36" s="2" t="s">
        <v>27</v>
      </c>
      <c r="J36" s="2" t="s">
        <v>28</v>
      </c>
      <c r="K36" s="4">
        <v>1.1000000000000001</v>
      </c>
      <c r="L36" s="4">
        <v>2</v>
      </c>
      <c r="M36" s="2">
        <v>2.2000000000000002</v>
      </c>
      <c r="N36" s="10"/>
      <c r="O36" s="6"/>
    </row>
    <row r="37" spans="1:15" s="5" customFormat="1" ht="14.45" customHeight="1" x14ac:dyDescent="0.2">
      <c r="A37" s="6">
        <v>14</v>
      </c>
      <c r="B37" s="7" t="s">
        <v>1068</v>
      </c>
      <c r="C37" s="6" t="s">
        <v>1069</v>
      </c>
      <c r="D37" s="6" t="s">
        <v>1070</v>
      </c>
      <c r="E37" s="6" t="s">
        <v>1071</v>
      </c>
      <c r="F37" s="6" t="s">
        <v>826</v>
      </c>
      <c r="G37" s="8" t="s">
        <v>23</v>
      </c>
      <c r="H37" s="8">
        <v>4</v>
      </c>
      <c r="I37" s="2" t="s">
        <v>24</v>
      </c>
      <c r="J37" s="2" t="s">
        <v>25</v>
      </c>
      <c r="K37" s="4">
        <v>0.9</v>
      </c>
      <c r="L37" s="4">
        <v>1</v>
      </c>
      <c r="M37" s="2">
        <v>0.9</v>
      </c>
      <c r="N37" s="10" t="s">
        <v>1072</v>
      </c>
      <c r="O37" s="6">
        <f>42.29*12+0.95*12</f>
        <v>518.88</v>
      </c>
    </row>
    <row r="38" spans="1:15" s="5" customFormat="1" x14ac:dyDescent="0.2">
      <c r="A38" s="6"/>
      <c r="B38" s="7"/>
      <c r="C38" s="6"/>
      <c r="D38" s="6"/>
      <c r="E38" s="6"/>
      <c r="F38" s="6"/>
      <c r="G38" s="9"/>
      <c r="H38" s="9"/>
      <c r="I38" s="2" t="s">
        <v>27</v>
      </c>
      <c r="J38" s="2" t="s">
        <v>28</v>
      </c>
      <c r="K38" s="4">
        <v>1.1000000000000001</v>
      </c>
      <c r="L38" s="4">
        <v>1</v>
      </c>
      <c r="M38" s="2">
        <v>1.1000000000000001</v>
      </c>
      <c r="N38" s="10"/>
      <c r="O38" s="6"/>
    </row>
    <row r="39" spans="1:15" s="5" customFormat="1" ht="14.45" customHeight="1" x14ac:dyDescent="0.2">
      <c r="A39" s="6">
        <v>15</v>
      </c>
      <c r="B39" s="7" t="s">
        <v>1073</v>
      </c>
      <c r="C39" s="6" t="s">
        <v>1074</v>
      </c>
      <c r="D39" s="6" t="s">
        <v>1075</v>
      </c>
      <c r="E39" s="6" t="s">
        <v>1076</v>
      </c>
      <c r="F39" s="6" t="s">
        <v>826</v>
      </c>
      <c r="G39" s="8" t="s">
        <v>23</v>
      </c>
      <c r="H39" s="8">
        <v>7</v>
      </c>
      <c r="I39" s="2" t="s">
        <v>24</v>
      </c>
      <c r="J39" s="2" t="s">
        <v>25</v>
      </c>
      <c r="K39" s="4">
        <v>0.9</v>
      </c>
      <c r="L39" s="4">
        <v>1</v>
      </c>
      <c r="M39" s="2">
        <v>0.9</v>
      </c>
      <c r="N39" s="10" t="s">
        <v>1077</v>
      </c>
      <c r="O39" s="6">
        <f>24.63*12+0.69*12+0.94*12+3.62*12+1.01*12+0.14*12+0.21*12+2.85*12+2.17*12+3.42*12</f>
        <v>476.15999999999997</v>
      </c>
    </row>
    <row r="40" spans="1:15" s="5" customFormat="1" ht="82.5" customHeight="1" x14ac:dyDescent="0.2">
      <c r="A40" s="6"/>
      <c r="B40" s="7"/>
      <c r="C40" s="6"/>
      <c r="D40" s="6"/>
      <c r="E40" s="6"/>
      <c r="F40" s="6"/>
      <c r="G40" s="9"/>
      <c r="H40" s="9"/>
      <c r="I40" s="2" t="s">
        <v>27</v>
      </c>
      <c r="J40" s="2" t="s">
        <v>28</v>
      </c>
      <c r="K40" s="4">
        <v>1.1000000000000001</v>
      </c>
      <c r="L40" s="4">
        <v>1</v>
      </c>
      <c r="M40" s="2">
        <v>1.1000000000000001</v>
      </c>
      <c r="N40" s="10"/>
      <c r="O40" s="6"/>
    </row>
    <row r="41" spans="1:15" s="5" customFormat="1" ht="14.45" customHeight="1" x14ac:dyDescent="0.2">
      <c r="A41" s="6">
        <v>16</v>
      </c>
      <c r="B41" s="7" t="s">
        <v>1078</v>
      </c>
      <c r="C41" s="6" t="s">
        <v>1079</v>
      </c>
      <c r="D41" s="6" t="s">
        <v>1080</v>
      </c>
      <c r="E41" s="6" t="s">
        <v>1081</v>
      </c>
      <c r="F41" s="6" t="s">
        <v>826</v>
      </c>
      <c r="G41" s="8" t="s">
        <v>23</v>
      </c>
      <c r="H41" s="8">
        <v>7</v>
      </c>
      <c r="I41" s="2" t="s">
        <v>24</v>
      </c>
      <c r="J41" s="2" t="s">
        <v>25</v>
      </c>
      <c r="K41" s="4">
        <v>0.9</v>
      </c>
      <c r="L41" s="4">
        <v>1</v>
      </c>
      <c r="M41" s="2">
        <v>0.9</v>
      </c>
      <c r="N41" s="10" t="s">
        <v>1082</v>
      </c>
      <c r="O41" s="6">
        <f>28.23*12+0.76*12+0.47*12+0.5*12+3.25*12+3.73*12+0.36*12+1.08*12+0.29*12</f>
        <v>464.03999999999996</v>
      </c>
    </row>
    <row r="42" spans="1:15" s="5" customFormat="1" ht="96.75" customHeight="1" x14ac:dyDescent="0.2">
      <c r="A42" s="6"/>
      <c r="B42" s="7"/>
      <c r="C42" s="6"/>
      <c r="D42" s="6"/>
      <c r="E42" s="6"/>
      <c r="F42" s="6"/>
      <c r="G42" s="9"/>
      <c r="H42" s="9"/>
      <c r="I42" s="2" t="s">
        <v>27</v>
      </c>
      <c r="J42" s="2" t="s">
        <v>28</v>
      </c>
      <c r="K42" s="4">
        <v>1.1000000000000001</v>
      </c>
      <c r="L42" s="4">
        <v>2</v>
      </c>
      <c r="M42" s="2">
        <v>2.2000000000000002</v>
      </c>
      <c r="N42" s="10"/>
      <c r="O42" s="6"/>
    </row>
    <row r="43" spans="1:15" s="5" customFormat="1" ht="14.45" customHeight="1" x14ac:dyDescent="0.2">
      <c r="A43" s="6">
        <v>17</v>
      </c>
      <c r="B43" s="7" t="s">
        <v>1083</v>
      </c>
      <c r="C43" s="6" t="s">
        <v>1084</v>
      </c>
      <c r="D43" s="6" t="s">
        <v>1085</v>
      </c>
      <c r="E43" s="6" t="s">
        <v>1086</v>
      </c>
      <c r="F43" s="6" t="s">
        <v>826</v>
      </c>
      <c r="G43" s="8" t="s">
        <v>23</v>
      </c>
      <c r="H43" s="8">
        <v>9</v>
      </c>
      <c r="I43" s="2" t="s">
        <v>24</v>
      </c>
      <c r="J43" s="2" t="s">
        <v>25</v>
      </c>
      <c r="K43" s="4">
        <v>0.9</v>
      </c>
      <c r="L43" s="4">
        <v>1</v>
      </c>
      <c r="M43" s="2">
        <v>0.9</v>
      </c>
      <c r="N43" s="10" t="s">
        <v>1087</v>
      </c>
      <c r="O43" s="6">
        <f>40.6*12+0.21*12+1.14*12</f>
        <v>503.40000000000003</v>
      </c>
    </row>
    <row r="44" spans="1:15" s="5" customFormat="1" x14ac:dyDescent="0.2">
      <c r="A44" s="6"/>
      <c r="B44" s="7"/>
      <c r="C44" s="6"/>
      <c r="D44" s="6"/>
      <c r="E44" s="6"/>
      <c r="F44" s="6"/>
      <c r="G44" s="9"/>
      <c r="H44" s="9"/>
      <c r="I44" s="2" t="s">
        <v>27</v>
      </c>
      <c r="J44" s="2" t="s">
        <v>28</v>
      </c>
      <c r="K44" s="4">
        <v>1.1000000000000001</v>
      </c>
      <c r="L44" s="4">
        <v>2</v>
      </c>
      <c r="M44" s="2">
        <v>2.2000000000000002</v>
      </c>
      <c r="N44" s="10"/>
      <c r="O44" s="6"/>
    </row>
    <row r="45" spans="1:15" s="5" customFormat="1" ht="14.45" customHeight="1" x14ac:dyDescent="0.2">
      <c r="A45" s="6">
        <v>18</v>
      </c>
      <c r="B45" s="7" t="s">
        <v>1088</v>
      </c>
      <c r="C45" s="6" t="s">
        <v>1089</v>
      </c>
      <c r="D45" s="6" t="s">
        <v>1090</v>
      </c>
      <c r="E45" s="6" t="s">
        <v>1091</v>
      </c>
      <c r="F45" s="6" t="s">
        <v>826</v>
      </c>
      <c r="G45" s="8" t="s">
        <v>23</v>
      </c>
      <c r="H45" s="8">
        <v>9</v>
      </c>
      <c r="I45" s="2" t="s">
        <v>24</v>
      </c>
      <c r="J45" s="2" t="s">
        <v>25</v>
      </c>
      <c r="K45" s="4">
        <v>0.9</v>
      </c>
      <c r="L45" s="4">
        <v>1</v>
      </c>
      <c r="M45" s="2">
        <v>0.9</v>
      </c>
      <c r="N45" s="10" t="s">
        <v>1092</v>
      </c>
      <c r="O45" s="6">
        <f>69.8*12</f>
        <v>837.59999999999991</v>
      </c>
    </row>
    <row r="46" spans="1:15" s="5" customFormat="1" x14ac:dyDescent="0.2">
      <c r="A46" s="6"/>
      <c r="B46" s="7"/>
      <c r="C46" s="6"/>
      <c r="D46" s="6"/>
      <c r="E46" s="6"/>
      <c r="F46" s="6"/>
      <c r="G46" s="9"/>
      <c r="H46" s="9"/>
      <c r="I46" s="2" t="s">
        <v>27</v>
      </c>
      <c r="J46" s="2" t="s">
        <v>28</v>
      </c>
      <c r="K46" s="4">
        <v>1.1000000000000001</v>
      </c>
      <c r="L46" s="4">
        <v>1</v>
      </c>
      <c r="M46" s="2">
        <v>1.1000000000000001</v>
      </c>
      <c r="N46" s="10"/>
      <c r="O46" s="6"/>
    </row>
    <row r="47" spans="1:15" s="5" customFormat="1" ht="14.45" customHeight="1" x14ac:dyDescent="0.2">
      <c r="A47" s="6">
        <v>19</v>
      </c>
      <c r="B47" s="7" t="s">
        <v>1093</v>
      </c>
      <c r="C47" s="6" t="s">
        <v>1094</v>
      </c>
      <c r="D47" s="6" t="s">
        <v>1095</v>
      </c>
      <c r="E47" s="6" t="s">
        <v>1096</v>
      </c>
      <c r="F47" s="6" t="s">
        <v>826</v>
      </c>
      <c r="G47" s="8" t="s">
        <v>23</v>
      </c>
      <c r="H47" s="8">
        <v>10</v>
      </c>
      <c r="I47" s="2" t="s">
        <v>24</v>
      </c>
      <c r="J47" s="2" t="s">
        <v>25</v>
      </c>
      <c r="K47" s="4">
        <v>0.9</v>
      </c>
      <c r="L47" s="4">
        <v>1</v>
      </c>
      <c r="M47" s="2">
        <v>0.9</v>
      </c>
      <c r="N47" s="10" t="s">
        <v>1097</v>
      </c>
      <c r="O47" s="6">
        <f>75.3*12+1.37*12</f>
        <v>920.04</v>
      </c>
    </row>
    <row r="48" spans="1:15" s="5" customFormat="1" x14ac:dyDescent="0.2">
      <c r="A48" s="6"/>
      <c r="B48" s="7"/>
      <c r="C48" s="6"/>
      <c r="D48" s="6"/>
      <c r="E48" s="6"/>
      <c r="F48" s="6"/>
      <c r="G48" s="9"/>
      <c r="H48" s="9"/>
      <c r="I48" s="2" t="s">
        <v>27</v>
      </c>
      <c r="J48" s="2" t="s">
        <v>28</v>
      </c>
      <c r="K48" s="4">
        <v>1.1000000000000001</v>
      </c>
      <c r="L48" s="4">
        <v>2</v>
      </c>
      <c r="M48" s="2">
        <v>2.2000000000000002</v>
      </c>
      <c r="N48" s="10"/>
      <c r="O48" s="6"/>
    </row>
    <row r="49" spans="1:15" s="5" customFormat="1" ht="14.45" customHeight="1" x14ac:dyDescent="0.2">
      <c r="A49" s="6">
        <v>20</v>
      </c>
      <c r="B49" s="7" t="s">
        <v>1098</v>
      </c>
      <c r="C49" s="6" t="s">
        <v>1099</v>
      </c>
      <c r="D49" s="6" t="s">
        <v>1100</v>
      </c>
      <c r="E49" s="6" t="s">
        <v>1101</v>
      </c>
      <c r="F49" s="6" t="s">
        <v>826</v>
      </c>
      <c r="G49" s="8" t="s">
        <v>23</v>
      </c>
      <c r="H49" s="8">
        <v>8</v>
      </c>
      <c r="I49" s="2" t="s">
        <v>24</v>
      </c>
      <c r="J49" s="2" t="s">
        <v>25</v>
      </c>
      <c r="K49" s="4">
        <v>0.9</v>
      </c>
      <c r="L49" s="4">
        <v>1</v>
      </c>
      <c r="M49" s="2">
        <v>0.9</v>
      </c>
      <c r="N49" s="10" t="s">
        <v>1102</v>
      </c>
      <c r="O49" s="6">
        <f>61.82*12+0.66*12+0.13*12+0.79*12+0.14*12+1.9*12+4.75*12</f>
        <v>842.27999999999986</v>
      </c>
    </row>
    <row r="50" spans="1:15" s="5" customFormat="1" ht="39" customHeight="1" x14ac:dyDescent="0.2">
      <c r="A50" s="6"/>
      <c r="B50" s="7"/>
      <c r="C50" s="6"/>
      <c r="D50" s="6"/>
      <c r="E50" s="6"/>
      <c r="F50" s="6"/>
      <c r="G50" s="9"/>
      <c r="H50" s="9"/>
      <c r="I50" s="2" t="s">
        <v>27</v>
      </c>
      <c r="J50" s="2" t="s">
        <v>28</v>
      </c>
      <c r="K50" s="4">
        <v>1.1000000000000001</v>
      </c>
      <c r="L50" s="4">
        <v>2</v>
      </c>
      <c r="M50" s="2">
        <v>2.2000000000000002</v>
      </c>
      <c r="N50" s="10"/>
      <c r="O50" s="6"/>
    </row>
    <row r="51" spans="1:15" s="5" customFormat="1" ht="14.45" customHeight="1" x14ac:dyDescent="0.2">
      <c r="A51" s="6">
        <v>21</v>
      </c>
      <c r="B51" s="7" t="s">
        <v>1328</v>
      </c>
      <c r="C51" s="6" t="s">
        <v>1329</v>
      </c>
      <c r="D51" s="6" t="s">
        <v>1330</v>
      </c>
      <c r="E51" s="6" t="s">
        <v>1331</v>
      </c>
      <c r="F51" s="6" t="s">
        <v>22</v>
      </c>
      <c r="G51" s="8" t="s">
        <v>23</v>
      </c>
      <c r="H51" s="8">
        <v>15</v>
      </c>
      <c r="I51" s="2" t="s">
        <v>24</v>
      </c>
      <c r="J51" s="2" t="s">
        <v>25</v>
      </c>
      <c r="K51" s="4">
        <v>0.9</v>
      </c>
      <c r="L51" s="4">
        <v>1</v>
      </c>
      <c r="M51" s="2">
        <v>0.9</v>
      </c>
      <c r="N51" s="10" t="s">
        <v>1332</v>
      </c>
      <c r="O51" s="6">
        <f>47.53*12</f>
        <v>570.36</v>
      </c>
    </row>
    <row r="52" spans="1:15" s="5" customFormat="1" x14ac:dyDescent="0.2">
      <c r="A52" s="6"/>
      <c r="B52" s="7"/>
      <c r="C52" s="6"/>
      <c r="D52" s="6"/>
      <c r="E52" s="6"/>
      <c r="F52" s="6"/>
      <c r="G52" s="9"/>
      <c r="H52" s="9"/>
      <c r="I52" s="2" t="s">
        <v>27</v>
      </c>
      <c r="J52" s="2" t="s">
        <v>28</v>
      </c>
      <c r="K52" s="4">
        <v>1.1000000000000001</v>
      </c>
      <c r="L52" s="4">
        <v>1</v>
      </c>
      <c r="M52" s="2">
        <v>1.1000000000000001</v>
      </c>
      <c r="N52" s="10"/>
      <c r="O52" s="6"/>
    </row>
    <row r="53" spans="1:15" s="5" customFormat="1" ht="14.45" customHeight="1" x14ac:dyDescent="0.2">
      <c r="A53" s="6">
        <v>22</v>
      </c>
      <c r="B53" s="7" t="s">
        <v>1333</v>
      </c>
      <c r="C53" s="6" t="s">
        <v>1334</v>
      </c>
      <c r="D53" s="6" t="s">
        <v>1335</v>
      </c>
      <c r="E53" s="6" t="s">
        <v>1336</v>
      </c>
      <c r="F53" s="6" t="s">
        <v>22</v>
      </c>
      <c r="G53" s="8" t="s">
        <v>23</v>
      </c>
      <c r="H53" s="8">
        <v>15</v>
      </c>
      <c r="I53" s="2" t="s">
        <v>24</v>
      </c>
      <c r="J53" s="2" t="s">
        <v>25</v>
      </c>
      <c r="K53" s="4">
        <v>0.9</v>
      </c>
      <c r="L53" s="4">
        <v>1</v>
      </c>
      <c r="M53" s="2">
        <v>0.9</v>
      </c>
      <c r="N53" s="10" t="s">
        <v>1337</v>
      </c>
      <c r="O53" s="6">
        <f>47.56*12+1.38*12+2.07*12</f>
        <v>612.12</v>
      </c>
    </row>
    <row r="54" spans="1:15" s="5" customFormat="1" x14ac:dyDescent="0.2">
      <c r="A54" s="6"/>
      <c r="B54" s="7"/>
      <c r="C54" s="6"/>
      <c r="D54" s="6"/>
      <c r="E54" s="6"/>
      <c r="F54" s="6"/>
      <c r="G54" s="9"/>
      <c r="H54" s="9"/>
      <c r="I54" s="2" t="s">
        <v>27</v>
      </c>
      <c r="J54" s="2" t="s">
        <v>28</v>
      </c>
      <c r="K54" s="4">
        <v>1.1000000000000001</v>
      </c>
      <c r="L54" s="4">
        <v>1</v>
      </c>
      <c r="M54" s="2">
        <v>1.1000000000000001</v>
      </c>
      <c r="N54" s="10"/>
      <c r="O54" s="6"/>
    </row>
    <row r="55" spans="1:15" s="5" customFormat="1" ht="14.45" customHeight="1" x14ac:dyDescent="0.2">
      <c r="A55" s="6">
        <v>23</v>
      </c>
      <c r="B55" s="7" t="s">
        <v>1103</v>
      </c>
      <c r="C55" s="6" t="s">
        <v>1104</v>
      </c>
      <c r="D55" s="6" t="s">
        <v>1105</v>
      </c>
      <c r="E55" s="6" t="s">
        <v>1106</v>
      </c>
      <c r="F55" s="6" t="s">
        <v>826</v>
      </c>
      <c r="G55" s="8" t="s">
        <v>23</v>
      </c>
      <c r="H55" s="8">
        <v>6</v>
      </c>
      <c r="I55" s="2" t="s">
        <v>24</v>
      </c>
      <c r="J55" s="2" t="s">
        <v>25</v>
      </c>
      <c r="K55" s="4">
        <v>0.9</v>
      </c>
      <c r="L55" s="4">
        <v>1</v>
      </c>
      <c r="M55" s="2">
        <v>0.9</v>
      </c>
      <c r="N55" s="10" t="s">
        <v>1107</v>
      </c>
      <c r="O55" s="6">
        <f>12.73*12+0.07*12+5.83*12+8.99*12+8.74*12+0.65*12</f>
        <v>444.12</v>
      </c>
    </row>
    <row r="56" spans="1:15" s="5" customFormat="1" ht="42" customHeight="1" x14ac:dyDescent="0.2">
      <c r="A56" s="6"/>
      <c r="B56" s="7"/>
      <c r="C56" s="6"/>
      <c r="D56" s="6"/>
      <c r="E56" s="6"/>
      <c r="F56" s="6"/>
      <c r="G56" s="9"/>
      <c r="H56" s="9"/>
      <c r="I56" s="2" t="s">
        <v>27</v>
      </c>
      <c r="J56" s="2" t="s">
        <v>28</v>
      </c>
      <c r="K56" s="4">
        <v>1.1000000000000001</v>
      </c>
      <c r="L56" s="4">
        <v>1</v>
      </c>
      <c r="M56" s="2">
        <v>1.1000000000000001</v>
      </c>
      <c r="N56" s="10"/>
      <c r="O56" s="6"/>
    </row>
    <row r="57" spans="1:15" s="5" customFormat="1" ht="14.45" customHeight="1" x14ac:dyDescent="0.2">
      <c r="A57" s="6">
        <v>24</v>
      </c>
      <c r="B57" s="7" t="s">
        <v>1108</v>
      </c>
      <c r="C57" s="6" t="s">
        <v>1109</v>
      </c>
      <c r="D57" s="6" t="s">
        <v>1110</v>
      </c>
      <c r="E57" s="6" t="s">
        <v>1111</v>
      </c>
      <c r="F57" s="6" t="s">
        <v>826</v>
      </c>
      <c r="G57" s="8" t="s">
        <v>23</v>
      </c>
      <c r="H57" s="8">
        <v>6</v>
      </c>
      <c r="I57" s="2" t="s">
        <v>24</v>
      </c>
      <c r="J57" s="2" t="s">
        <v>25</v>
      </c>
      <c r="K57" s="4">
        <v>0.9</v>
      </c>
      <c r="L57" s="4">
        <v>1</v>
      </c>
      <c r="M57" s="2">
        <v>0.9</v>
      </c>
      <c r="N57" s="10" t="s">
        <v>1112</v>
      </c>
      <c r="O57" s="6">
        <f>25.02*12+7.59*12+4.56*12+0.95*12+0.21*12+1.14*12+0.26*12+0.07*12+0.13*12+1.9*12+2.89*12+0.07*12+1.8*12+0.21*12+0.71*12</f>
        <v>570.11999999999989</v>
      </c>
    </row>
    <row r="58" spans="1:15" s="5" customFormat="1" ht="106.5" customHeight="1" x14ac:dyDescent="0.2">
      <c r="A58" s="6"/>
      <c r="B58" s="7"/>
      <c r="C58" s="6"/>
      <c r="D58" s="6"/>
      <c r="E58" s="6"/>
      <c r="F58" s="6"/>
      <c r="G58" s="9"/>
      <c r="H58" s="9"/>
      <c r="I58" s="2" t="s">
        <v>27</v>
      </c>
      <c r="J58" s="2" t="s">
        <v>28</v>
      </c>
      <c r="K58" s="4">
        <v>1.1000000000000001</v>
      </c>
      <c r="L58" s="4">
        <v>1</v>
      </c>
      <c r="M58" s="2">
        <v>1.1000000000000001</v>
      </c>
      <c r="N58" s="10"/>
      <c r="O58" s="6"/>
    </row>
    <row r="59" spans="1:15" s="5" customFormat="1" ht="14.45" customHeight="1" x14ac:dyDescent="0.2">
      <c r="A59" s="6">
        <v>25</v>
      </c>
      <c r="B59" s="7" t="s">
        <v>1303</v>
      </c>
      <c r="C59" s="6" t="s">
        <v>1304</v>
      </c>
      <c r="D59" s="6" t="s">
        <v>1305</v>
      </c>
      <c r="E59" s="6" t="s">
        <v>1306</v>
      </c>
      <c r="F59" s="6" t="s">
        <v>22</v>
      </c>
      <c r="G59" s="8" t="s">
        <v>23</v>
      </c>
      <c r="H59" s="8">
        <v>12</v>
      </c>
      <c r="I59" s="2" t="s">
        <v>24</v>
      </c>
      <c r="J59" s="2" t="s">
        <v>25</v>
      </c>
      <c r="K59" s="4">
        <v>0.9</v>
      </c>
      <c r="L59" s="4">
        <v>1</v>
      </c>
      <c r="M59" s="2">
        <v>0.9</v>
      </c>
      <c r="N59" s="10" t="s">
        <v>1307</v>
      </c>
      <c r="O59" s="6">
        <f>37.21*12</f>
        <v>446.52</v>
      </c>
    </row>
    <row r="60" spans="1:15" s="5" customFormat="1" x14ac:dyDescent="0.2">
      <c r="A60" s="6"/>
      <c r="B60" s="7"/>
      <c r="C60" s="6"/>
      <c r="D60" s="6"/>
      <c r="E60" s="6"/>
      <c r="F60" s="6"/>
      <c r="G60" s="9"/>
      <c r="H60" s="9"/>
      <c r="I60" s="2" t="s">
        <v>27</v>
      </c>
      <c r="J60" s="2" t="s">
        <v>28</v>
      </c>
      <c r="K60" s="4">
        <v>1.1000000000000001</v>
      </c>
      <c r="L60" s="4">
        <v>2</v>
      </c>
      <c r="M60" s="2">
        <v>2.2000000000000002</v>
      </c>
      <c r="N60" s="10"/>
      <c r="O60" s="6"/>
    </row>
    <row r="61" spans="1:15" s="5" customFormat="1" ht="14.45" customHeight="1" x14ac:dyDescent="0.2">
      <c r="A61" s="6">
        <v>26</v>
      </c>
      <c r="B61" s="7" t="s">
        <v>1308</v>
      </c>
      <c r="C61" s="6" t="s">
        <v>1309</v>
      </c>
      <c r="D61" s="6" t="s">
        <v>1310</v>
      </c>
      <c r="E61" s="6" t="s">
        <v>1311</v>
      </c>
      <c r="F61" s="6" t="s">
        <v>22</v>
      </c>
      <c r="G61" s="8" t="s">
        <v>23</v>
      </c>
      <c r="H61" s="8">
        <v>27</v>
      </c>
      <c r="I61" s="2" t="s">
        <v>130</v>
      </c>
      <c r="J61" s="2" t="s">
        <v>131</v>
      </c>
      <c r="K61" s="4">
        <v>8</v>
      </c>
      <c r="L61" s="4">
        <v>1</v>
      </c>
      <c r="M61" s="2">
        <v>8</v>
      </c>
      <c r="N61" s="10" t="s">
        <v>1312</v>
      </c>
      <c r="O61" s="6">
        <f>104.58*12+0.2*12+1.71*12</f>
        <v>1277.8800000000001</v>
      </c>
    </row>
    <row r="62" spans="1:15" s="5" customFormat="1" x14ac:dyDescent="0.2">
      <c r="A62" s="6"/>
      <c r="B62" s="7"/>
      <c r="C62" s="6"/>
      <c r="D62" s="6"/>
      <c r="E62" s="6"/>
      <c r="F62" s="6"/>
      <c r="G62" s="20"/>
      <c r="H62" s="20"/>
      <c r="I62" s="2" t="s">
        <v>24</v>
      </c>
      <c r="J62" s="2" t="s">
        <v>25</v>
      </c>
      <c r="K62" s="4">
        <v>0.9</v>
      </c>
      <c r="L62" s="4">
        <v>1</v>
      </c>
      <c r="M62" s="2">
        <v>0.9</v>
      </c>
      <c r="N62" s="10"/>
      <c r="O62" s="6"/>
    </row>
    <row r="63" spans="1:15" s="5" customFormat="1" x14ac:dyDescent="0.2">
      <c r="A63" s="6"/>
      <c r="B63" s="7"/>
      <c r="C63" s="6"/>
      <c r="D63" s="6"/>
      <c r="E63" s="6"/>
      <c r="F63" s="6"/>
      <c r="G63" s="9"/>
      <c r="H63" s="9"/>
      <c r="I63" s="2" t="s">
        <v>27</v>
      </c>
      <c r="J63" s="2" t="s">
        <v>28</v>
      </c>
      <c r="K63" s="4">
        <v>1.1000000000000001</v>
      </c>
      <c r="L63" s="4">
        <v>2</v>
      </c>
      <c r="M63" s="2">
        <v>2.2000000000000002</v>
      </c>
      <c r="N63" s="10"/>
      <c r="O63" s="6"/>
    </row>
    <row r="64" spans="1:15" s="5" customFormat="1" ht="14.45" customHeight="1" x14ac:dyDescent="0.2">
      <c r="A64" s="6">
        <v>27</v>
      </c>
      <c r="B64" s="7" t="s">
        <v>1113</v>
      </c>
      <c r="C64" s="6" t="s">
        <v>1114</v>
      </c>
      <c r="D64" s="6" t="s">
        <v>1115</v>
      </c>
      <c r="E64" s="6" t="s">
        <v>1116</v>
      </c>
      <c r="F64" s="6" t="s">
        <v>826</v>
      </c>
      <c r="G64" s="8" t="s">
        <v>23</v>
      </c>
      <c r="H64" s="8">
        <v>9</v>
      </c>
      <c r="I64" s="2" t="s">
        <v>24</v>
      </c>
      <c r="J64" s="2" t="s">
        <v>25</v>
      </c>
      <c r="K64" s="4">
        <v>0.9</v>
      </c>
      <c r="L64" s="4">
        <v>1</v>
      </c>
      <c r="M64" s="2">
        <v>0.9</v>
      </c>
      <c r="N64" s="10" t="s">
        <v>1117</v>
      </c>
      <c r="O64" s="6">
        <f>22.98*12+3.8*12+0.53*12+1.42*12+0.65*12+1.03*12+2.46*12</f>
        <v>394.44000000000005</v>
      </c>
    </row>
    <row r="65" spans="1:15" s="5" customFormat="1" ht="42.75" customHeight="1" x14ac:dyDescent="0.2">
      <c r="A65" s="6"/>
      <c r="B65" s="7"/>
      <c r="C65" s="6"/>
      <c r="D65" s="6"/>
      <c r="E65" s="6"/>
      <c r="F65" s="6"/>
      <c r="G65" s="9"/>
      <c r="H65" s="9"/>
      <c r="I65" s="2" t="s">
        <v>27</v>
      </c>
      <c r="J65" s="2" t="s">
        <v>28</v>
      </c>
      <c r="K65" s="4">
        <v>1.1000000000000001</v>
      </c>
      <c r="L65" s="4">
        <v>2</v>
      </c>
      <c r="M65" s="2">
        <v>2.2000000000000002</v>
      </c>
      <c r="N65" s="10"/>
      <c r="O65" s="6"/>
    </row>
    <row r="66" spans="1:15" s="5" customFormat="1" ht="14.45" customHeight="1" x14ac:dyDescent="0.2">
      <c r="A66" s="6">
        <v>28</v>
      </c>
      <c r="B66" s="7" t="s">
        <v>1284</v>
      </c>
      <c r="C66" s="6" t="s">
        <v>1285</v>
      </c>
      <c r="D66" s="6" t="s">
        <v>1286</v>
      </c>
      <c r="E66" s="6" t="s">
        <v>1287</v>
      </c>
      <c r="F66" s="6" t="s">
        <v>22</v>
      </c>
      <c r="G66" s="8" t="s">
        <v>23</v>
      </c>
      <c r="H66" s="8">
        <v>12</v>
      </c>
      <c r="I66" s="2" t="s">
        <v>24</v>
      </c>
      <c r="J66" s="2" t="s">
        <v>25</v>
      </c>
      <c r="K66" s="4">
        <v>0.9</v>
      </c>
      <c r="L66" s="4">
        <v>1</v>
      </c>
      <c r="M66" s="2">
        <v>0.9</v>
      </c>
      <c r="N66" s="10" t="s">
        <v>1288</v>
      </c>
      <c r="O66" s="6">
        <f>29.05*12</f>
        <v>348.6</v>
      </c>
    </row>
    <row r="67" spans="1:15" s="5" customFormat="1" x14ac:dyDescent="0.2">
      <c r="A67" s="6"/>
      <c r="B67" s="7"/>
      <c r="C67" s="6"/>
      <c r="D67" s="6"/>
      <c r="E67" s="6"/>
      <c r="F67" s="6"/>
      <c r="G67" s="9"/>
      <c r="H67" s="9"/>
      <c r="I67" s="2" t="s">
        <v>27</v>
      </c>
      <c r="J67" s="2" t="s">
        <v>28</v>
      </c>
      <c r="K67" s="4">
        <v>1.1000000000000001</v>
      </c>
      <c r="L67" s="4">
        <v>1</v>
      </c>
      <c r="M67" s="2">
        <v>1.1000000000000001</v>
      </c>
      <c r="N67" s="10"/>
      <c r="O67" s="6"/>
    </row>
    <row r="68" spans="1:15" s="5" customFormat="1" ht="14.45" customHeight="1" x14ac:dyDescent="0.2">
      <c r="A68" s="6">
        <v>29</v>
      </c>
      <c r="B68" s="7" t="s">
        <v>1118</v>
      </c>
      <c r="C68" s="6" t="s">
        <v>1119</v>
      </c>
      <c r="D68" s="6" t="s">
        <v>1120</v>
      </c>
      <c r="E68" s="6" t="s">
        <v>1121</v>
      </c>
      <c r="F68" s="6" t="s">
        <v>826</v>
      </c>
      <c r="G68" s="8" t="s">
        <v>23</v>
      </c>
      <c r="H68" s="8">
        <v>7</v>
      </c>
      <c r="I68" s="2" t="s">
        <v>24</v>
      </c>
      <c r="J68" s="2" t="s">
        <v>25</v>
      </c>
      <c r="K68" s="4">
        <v>0.9</v>
      </c>
      <c r="L68" s="4">
        <v>1</v>
      </c>
      <c r="M68" s="2">
        <v>0.9</v>
      </c>
      <c r="N68" s="10" t="s">
        <v>1122</v>
      </c>
      <c r="O68" s="6">
        <f>36.93*12+0.3*12+0.36*12</f>
        <v>451.08</v>
      </c>
    </row>
    <row r="69" spans="1:15" s="5" customFormat="1" ht="40.5" customHeight="1" x14ac:dyDescent="0.2">
      <c r="A69" s="6"/>
      <c r="B69" s="7"/>
      <c r="C69" s="6"/>
      <c r="D69" s="6"/>
      <c r="E69" s="6"/>
      <c r="F69" s="6"/>
      <c r="G69" s="9"/>
      <c r="H69" s="9"/>
      <c r="I69" s="2" t="s">
        <v>27</v>
      </c>
      <c r="J69" s="2" t="s">
        <v>28</v>
      </c>
      <c r="K69" s="4">
        <v>1.1000000000000001</v>
      </c>
      <c r="L69" s="4">
        <v>1</v>
      </c>
      <c r="M69" s="2">
        <v>1.1000000000000001</v>
      </c>
      <c r="N69" s="10"/>
      <c r="O69" s="6"/>
    </row>
    <row r="70" spans="1:15" s="5" customFormat="1" ht="14.45" customHeight="1" x14ac:dyDescent="0.2">
      <c r="A70" s="6">
        <v>30</v>
      </c>
      <c r="B70" s="7" t="s">
        <v>1123</v>
      </c>
      <c r="C70" s="6" t="s">
        <v>1124</v>
      </c>
      <c r="D70" s="6" t="s">
        <v>1125</v>
      </c>
      <c r="E70" s="6" t="s">
        <v>1126</v>
      </c>
      <c r="F70" s="6" t="s">
        <v>826</v>
      </c>
      <c r="G70" s="8" t="s">
        <v>23</v>
      </c>
      <c r="H70" s="8">
        <v>7</v>
      </c>
      <c r="I70" s="2" t="s">
        <v>24</v>
      </c>
      <c r="J70" s="2" t="s">
        <v>25</v>
      </c>
      <c r="K70" s="4">
        <v>0.9</v>
      </c>
      <c r="L70" s="4">
        <v>1</v>
      </c>
      <c r="M70" s="2">
        <v>0.9</v>
      </c>
      <c r="N70" s="10" t="s">
        <v>1127</v>
      </c>
      <c r="O70" s="6">
        <f>26.33*12+0.4*12+4.08*12+6.76*12+1.9*12</f>
        <v>473.64</v>
      </c>
    </row>
    <row r="71" spans="1:15" s="5" customFormat="1" ht="37.5" customHeight="1" x14ac:dyDescent="0.2">
      <c r="A71" s="6"/>
      <c r="B71" s="7"/>
      <c r="C71" s="6"/>
      <c r="D71" s="6"/>
      <c r="E71" s="6"/>
      <c r="F71" s="6"/>
      <c r="G71" s="9"/>
      <c r="H71" s="9"/>
      <c r="I71" s="2" t="s">
        <v>27</v>
      </c>
      <c r="J71" s="2" t="s">
        <v>28</v>
      </c>
      <c r="K71" s="4">
        <v>1.1000000000000001</v>
      </c>
      <c r="L71" s="4">
        <v>1</v>
      </c>
      <c r="M71" s="2">
        <v>1.1000000000000001</v>
      </c>
      <c r="N71" s="10"/>
      <c r="O71" s="6"/>
    </row>
    <row r="72" spans="1:15" s="5" customFormat="1" ht="14.45" customHeight="1" x14ac:dyDescent="0.2">
      <c r="A72" s="6">
        <v>31</v>
      </c>
      <c r="B72" s="7" t="s">
        <v>1128</v>
      </c>
      <c r="C72" s="6" t="s">
        <v>1129</v>
      </c>
      <c r="D72" s="6" t="s">
        <v>1130</v>
      </c>
      <c r="E72" s="6" t="s">
        <v>1131</v>
      </c>
      <c r="F72" s="6" t="s">
        <v>826</v>
      </c>
      <c r="G72" s="8" t="s">
        <v>23</v>
      </c>
      <c r="H72" s="8">
        <v>7</v>
      </c>
      <c r="I72" s="2" t="s">
        <v>24</v>
      </c>
      <c r="J72" s="2" t="s">
        <v>25</v>
      </c>
      <c r="K72" s="4">
        <v>0.9</v>
      </c>
      <c r="L72" s="4">
        <v>1</v>
      </c>
      <c r="M72" s="2">
        <v>0.9</v>
      </c>
      <c r="N72" s="10" t="s">
        <v>1132</v>
      </c>
      <c r="O72" s="6">
        <f>38.26*12+1.14*12</f>
        <v>472.8</v>
      </c>
    </row>
    <row r="73" spans="1:15" s="5" customFormat="1" x14ac:dyDescent="0.2">
      <c r="A73" s="6"/>
      <c r="B73" s="7"/>
      <c r="C73" s="6"/>
      <c r="D73" s="6"/>
      <c r="E73" s="6"/>
      <c r="F73" s="6"/>
      <c r="G73" s="9"/>
      <c r="H73" s="9"/>
      <c r="I73" s="2" t="s">
        <v>27</v>
      </c>
      <c r="J73" s="2" t="s">
        <v>28</v>
      </c>
      <c r="K73" s="4">
        <v>1.1000000000000001</v>
      </c>
      <c r="L73" s="4">
        <v>1</v>
      </c>
      <c r="M73" s="2">
        <v>1.1000000000000001</v>
      </c>
      <c r="N73" s="10"/>
      <c r="O73" s="6"/>
    </row>
    <row r="74" spans="1:15" s="5" customFormat="1" ht="14.45" customHeight="1" x14ac:dyDescent="0.2">
      <c r="A74" s="6">
        <v>32</v>
      </c>
      <c r="B74" s="7" t="s">
        <v>1133</v>
      </c>
      <c r="C74" s="6" t="s">
        <v>1134</v>
      </c>
      <c r="D74" s="6" t="s">
        <v>1135</v>
      </c>
      <c r="E74" s="6" t="s">
        <v>1136</v>
      </c>
      <c r="F74" s="6" t="s">
        <v>826</v>
      </c>
      <c r="G74" s="8" t="s">
        <v>23</v>
      </c>
      <c r="H74" s="8">
        <v>20</v>
      </c>
      <c r="I74" s="2" t="s">
        <v>24</v>
      </c>
      <c r="J74" s="2" t="s">
        <v>25</v>
      </c>
      <c r="K74" s="4">
        <v>0.9</v>
      </c>
      <c r="L74" s="4">
        <v>1</v>
      </c>
      <c r="M74" s="2">
        <v>0.9</v>
      </c>
      <c r="N74" s="10" t="s">
        <v>1137</v>
      </c>
      <c r="O74" s="6">
        <f>80.93*12+6.15*12+24.7*12+0.29*12+0.07*12+1.71*12</f>
        <v>1366.2</v>
      </c>
    </row>
    <row r="75" spans="1:15" s="5" customFormat="1" ht="39" customHeight="1" x14ac:dyDescent="0.2">
      <c r="A75" s="6"/>
      <c r="B75" s="7"/>
      <c r="C75" s="6"/>
      <c r="D75" s="6"/>
      <c r="E75" s="6"/>
      <c r="F75" s="6"/>
      <c r="G75" s="9"/>
      <c r="H75" s="9"/>
      <c r="I75" s="2" t="s">
        <v>27</v>
      </c>
      <c r="J75" s="2" t="s">
        <v>28</v>
      </c>
      <c r="K75" s="4">
        <v>1.1000000000000001</v>
      </c>
      <c r="L75" s="4">
        <v>4</v>
      </c>
      <c r="M75" s="2">
        <v>4.4000000000000004</v>
      </c>
      <c r="N75" s="10"/>
      <c r="O75" s="6"/>
    </row>
    <row r="76" spans="1:15" s="5" customFormat="1" ht="14.45" customHeight="1" x14ac:dyDescent="0.2">
      <c r="A76" s="6">
        <v>33</v>
      </c>
      <c r="B76" s="7" t="s">
        <v>1275</v>
      </c>
      <c r="C76" s="6" t="s">
        <v>1276</v>
      </c>
      <c r="D76" s="6" t="s">
        <v>1277</v>
      </c>
      <c r="E76" s="6" t="s">
        <v>59</v>
      </c>
      <c r="F76" s="6" t="s">
        <v>22</v>
      </c>
      <c r="G76" s="8" t="s">
        <v>23</v>
      </c>
      <c r="H76" s="8">
        <v>12</v>
      </c>
      <c r="I76" s="2" t="s">
        <v>24</v>
      </c>
      <c r="J76" s="2" t="s">
        <v>25</v>
      </c>
      <c r="K76" s="4">
        <v>0.9</v>
      </c>
      <c r="L76" s="4">
        <v>1</v>
      </c>
      <c r="M76" s="2">
        <v>0.9</v>
      </c>
      <c r="N76" s="10" t="s">
        <v>1278</v>
      </c>
      <c r="O76" s="6">
        <f>19.73*12</f>
        <v>236.76</v>
      </c>
    </row>
    <row r="77" spans="1:15" s="5" customFormat="1" x14ac:dyDescent="0.2">
      <c r="A77" s="6"/>
      <c r="B77" s="7"/>
      <c r="C77" s="6"/>
      <c r="D77" s="6"/>
      <c r="E77" s="6"/>
      <c r="F77" s="6"/>
      <c r="G77" s="9"/>
      <c r="H77" s="9"/>
      <c r="I77" s="2" t="s">
        <v>27</v>
      </c>
      <c r="J77" s="2" t="s">
        <v>28</v>
      </c>
      <c r="K77" s="4">
        <v>1.1000000000000001</v>
      </c>
      <c r="L77" s="4">
        <v>1</v>
      </c>
      <c r="M77" s="2">
        <v>1.1000000000000001</v>
      </c>
      <c r="N77" s="10"/>
      <c r="O77" s="6"/>
    </row>
    <row r="78" spans="1:15" s="5" customFormat="1" ht="14.45" customHeight="1" x14ac:dyDescent="0.2">
      <c r="A78" s="6">
        <v>34</v>
      </c>
      <c r="B78" s="7" t="s">
        <v>1313</v>
      </c>
      <c r="C78" s="6" t="s">
        <v>1314</v>
      </c>
      <c r="D78" s="6" t="s">
        <v>1315</v>
      </c>
      <c r="E78" s="6" t="s">
        <v>1316</v>
      </c>
      <c r="F78" s="6" t="s">
        <v>22</v>
      </c>
      <c r="G78" s="8" t="s">
        <v>23</v>
      </c>
      <c r="H78" s="8">
        <v>15</v>
      </c>
      <c r="I78" s="2" t="s">
        <v>24</v>
      </c>
      <c r="J78" s="2" t="s">
        <v>25</v>
      </c>
      <c r="K78" s="4">
        <v>0.9</v>
      </c>
      <c r="L78" s="4">
        <v>1</v>
      </c>
      <c r="M78" s="2">
        <v>0.9</v>
      </c>
      <c r="N78" s="10" t="s">
        <v>1317</v>
      </c>
      <c r="O78" s="6">
        <f>51.14*12+1.14*12+0.29*12</f>
        <v>630.84</v>
      </c>
    </row>
    <row r="79" spans="1:15" s="5" customFormat="1" x14ac:dyDescent="0.2">
      <c r="A79" s="6"/>
      <c r="B79" s="7"/>
      <c r="C79" s="6"/>
      <c r="D79" s="6"/>
      <c r="E79" s="6"/>
      <c r="F79" s="6"/>
      <c r="G79" s="9"/>
      <c r="H79" s="9"/>
      <c r="I79" s="2" t="s">
        <v>27</v>
      </c>
      <c r="J79" s="2" t="s">
        <v>28</v>
      </c>
      <c r="K79" s="4">
        <v>1.1000000000000001</v>
      </c>
      <c r="L79" s="4">
        <v>2</v>
      </c>
      <c r="M79" s="2">
        <v>2.2000000000000002</v>
      </c>
      <c r="N79" s="10"/>
      <c r="O79" s="6"/>
    </row>
    <row r="80" spans="1:15" s="5" customFormat="1" ht="14.45" customHeight="1" x14ac:dyDescent="0.2">
      <c r="A80" s="6">
        <v>35</v>
      </c>
      <c r="B80" s="7" t="s">
        <v>1270</v>
      </c>
      <c r="C80" s="6" t="s">
        <v>1271</v>
      </c>
      <c r="D80" s="6" t="s">
        <v>1272</v>
      </c>
      <c r="E80" s="6" t="s">
        <v>1273</v>
      </c>
      <c r="F80" s="6" t="s">
        <v>22</v>
      </c>
      <c r="G80" s="8" t="s">
        <v>23</v>
      </c>
      <c r="H80" s="8">
        <v>27</v>
      </c>
      <c r="I80" s="2" t="s">
        <v>130</v>
      </c>
      <c r="J80" s="2" t="s">
        <v>131</v>
      </c>
      <c r="K80" s="4">
        <v>8</v>
      </c>
      <c r="L80" s="4">
        <v>1</v>
      </c>
      <c r="M80" s="2">
        <v>8</v>
      </c>
      <c r="N80" s="10" t="s">
        <v>1274</v>
      </c>
      <c r="O80" s="6">
        <f>146.91*12+1.23*12+0.94*12+0.26*12+0.36*12+0.14*12</f>
        <v>1798.08</v>
      </c>
    </row>
    <row r="81" spans="1:15" s="5" customFormat="1" x14ac:dyDescent="0.2">
      <c r="A81" s="6"/>
      <c r="B81" s="7"/>
      <c r="C81" s="6"/>
      <c r="D81" s="6"/>
      <c r="E81" s="6"/>
      <c r="F81" s="6"/>
      <c r="G81" s="20"/>
      <c r="H81" s="20"/>
      <c r="I81" s="2" t="s">
        <v>24</v>
      </c>
      <c r="J81" s="2" t="s">
        <v>25</v>
      </c>
      <c r="K81" s="4">
        <v>0.9</v>
      </c>
      <c r="L81" s="4">
        <v>1</v>
      </c>
      <c r="M81" s="2">
        <v>0.9</v>
      </c>
      <c r="N81" s="10"/>
      <c r="O81" s="6"/>
    </row>
    <row r="82" spans="1:15" s="5" customFormat="1" x14ac:dyDescent="0.2">
      <c r="A82" s="6"/>
      <c r="B82" s="7"/>
      <c r="C82" s="6"/>
      <c r="D82" s="6"/>
      <c r="E82" s="6"/>
      <c r="F82" s="6"/>
      <c r="G82" s="20"/>
      <c r="H82" s="20"/>
      <c r="I82" s="2" t="s">
        <v>27</v>
      </c>
      <c r="J82" s="2" t="s">
        <v>131</v>
      </c>
      <c r="K82" s="4">
        <v>8</v>
      </c>
      <c r="L82" s="4">
        <v>0</v>
      </c>
      <c r="M82" s="2">
        <v>0</v>
      </c>
      <c r="N82" s="10"/>
      <c r="O82" s="6"/>
    </row>
    <row r="83" spans="1:15" s="5" customFormat="1" ht="45" customHeight="1" x14ac:dyDescent="0.2">
      <c r="A83" s="6"/>
      <c r="B83" s="7"/>
      <c r="C83" s="6"/>
      <c r="D83" s="6"/>
      <c r="E83" s="6"/>
      <c r="F83" s="6"/>
      <c r="G83" s="9"/>
      <c r="H83" s="9"/>
      <c r="I83" s="2" t="s">
        <v>27</v>
      </c>
      <c r="J83" s="2" t="s">
        <v>28</v>
      </c>
      <c r="K83" s="4">
        <v>1.1000000000000001</v>
      </c>
      <c r="L83" s="4">
        <v>2</v>
      </c>
      <c r="M83" s="2">
        <v>2.2000000000000002</v>
      </c>
      <c r="N83" s="10"/>
      <c r="O83" s="6"/>
    </row>
    <row r="84" spans="1:15" s="5" customFormat="1" ht="14.45" customHeight="1" x14ac:dyDescent="0.2">
      <c r="A84" s="6">
        <v>36</v>
      </c>
      <c r="B84" s="7" t="s">
        <v>1138</v>
      </c>
      <c r="C84" s="6" t="s">
        <v>1139</v>
      </c>
      <c r="D84" s="6" t="s">
        <v>1140</v>
      </c>
      <c r="E84" s="6" t="s">
        <v>1141</v>
      </c>
      <c r="F84" s="6" t="s">
        <v>826</v>
      </c>
      <c r="G84" s="8" t="s">
        <v>23</v>
      </c>
      <c r="H84" s="8">
        <v>7</v>
      </c>
      <c r="I84" s="2" t="s">
        <v>24</v>
      </c>
      <c r="J84" s="2" t="s">
        <v>25</v>
      </c>
      <c r="K84" s="4">
        <v>0.9</v>
      </c>
      <c r="L84" s="4">
        <v>1</v>
      </c>
      <c r="M84" s="2">
        <v>0.9</v>
      </c>
      <c r="N84" s="10" t="s">
        <v>1142</v>
      </c>
      <c r="O84" s="6">
        <f>20.85*12+1.9*12+0.29*12+3.31*12+5.7*12+0.47*12+0.21*12+3.04*12+1.42*12+0.29*12+0.65*12</f>
        <v>457.56000000000006</v>
      </c>
    </row>
    <row r="85" spans="1:15" s="5" customFormat="1" ht="75" customHeight="1" x14ac:dyDescent="0.2">
      <c r="A85" s="6"/>
      <c r="B85" s="7"/>
      <c r="C85" s="6"/>
      <c r="D85" s="6"/>
      <c r="E85" s="6"/>
      <c r="F85" s="6"/>
      <c r="G85" s="9"/>
      <c r="H85" s="9"/>
      <c r="I85" s="2" t="s">
        <v>27</v>
      </c>
      <c r="J85" s="2" t="s">
        <v>28</v>
      </c>
      <c r="K85" s="4">
        <v>1.1000000000000001</v>
      </c>
      <c r="L85" s="4">
        <v>1</v>
      </c>
      <c r="M85" s="2">
        <v>1.1000000000000001</v>
      </c>
      <c r="N85" s="10"/>
      <c r="O85" s="6"/>
    </row>
    <row r="86" spans="1:15" s="5" customFormat="1" ht="14.45" customHeight="1" x14ac:dyDescent="0.2">
      <c r="A86" s="6">
        <v>37</v>
      </c>
      <c r="B86" s="7" t="s">
        <v>1143</v>
      </c>
      <c r="C86" s="6" t="s">
        <v>1144</v>
      </c>
      <c r="D86" s="6" t="s">
        <v>1145</v>
      </c>
      <c r="E86" s="6" t="s">
        <v>1146</v>
      </c>
      <c r="F86" s="6" t="s">
        <v>826</v>
      </c>
      <c r="G86" s="8" t="s">
        <v>23</v>
      </c>
      <c r="H86" s="8">
        <v>9</v>
      </c>
      <c r="I86" s="2" t="s">
        <v>24</v>
      </c>
      <c r="J86" s="2" t="s">
        <v>25</v>
      </c>
      <c r="K86" s="4">
        <v>0.9</v>
      </c>
      <c r="L86" s="4">
        <v>1</v>
      </c>
      <c r="M86" s="2">
        <v>0.9</v>
      </c>
      <c r="N86" s="10" t="s">
        <v>1147</v>
      </c>
      <c r="O86" s="6">
        <f>70.76*12+2.18*12</f>
        <v>875.28000000000009</v>
      </c>
    </row>
    <row r="87" spans="1:15" s="5" customFormat="1" ht="14.25" customHeight="1" x14ac:dyDescent="0.2">
      <c r="A87" s="6"/>
      <c r="B87" s="7"/>
      <c r="C87" s="6"/>
      <c r="D87" s="6"/>
      <c r="E87" s="6"/>
      <c r="F87" s="6"/>
      <c r="G87" s="9"/>
      <c r="H87" s="9"/>
      <c r="I87" s="2" t="s">
        <v>27</v>
      </c>
      <c r="J87" s="2" t="s">
        <v>28</v>
      </c>
      <c r="K87" s="4">
        <v>1.1000000000000001</v>
      </c>
      <c r="L87" s="4">
        <v>2</v>
      </c>
      <c r="M87" s="2">
        <v>2.2000000000000002</v>
      </c>
      <c r="N87" s="10"/>
      <c r="O87" s="6"/>
    </row>
    <row r="88" spans="1:15" s="5" customFormat="1" ht="14.45" customHeight="1" x14ac:dyDescent="0.2">
      <c r="A88" s="6">
        <v>38</v>
      </c>
      <c r="B88" s="7" t="s">
        <v>1318</v>
      </c>
      <c r="C88" s="6" t="s">
        <v>1319</v>
      </c>
      <c r="D88" s="6" t="s">
        <v>1320</v>
      </c>
      <c r="E88" s="6" t="s">
        <v>1321</v>
      </c>
      <c r="F88" s="6" t="s">
        <v>22</v>
      </c>
      <c r="G88" s="8" t="s">
        <v>23</v>
      </c>
      <c r="H88" s="8">
        <v>12</v>
      </c>
      <c r="I88" s="2" t="s">
        <v>24</v>
      </c>
      <c r="J88" s="2" t="s">
        <v>25</v>
      </c>
      <c r="K88" s="4">
        <v>0.9</v>
      </c>
      <c r="L88" s="4">
        <v>1</v>
      </c>
      <c r="M88" s="2">
        <v>0.9</v>
      </c>
      <c r="N88" s="10" t="s">
        <v>1322</v>
      </c>
      <c r="O88" s="6">
        <f>92.61*12</f>
        <v>1111.32</v>
      </c>
    </row>
    <row r="89" spans="1:15" s="5" customFormat="1" x14ac:dyDescent="0.2">
      <c r="A89" s="6"/>
      <c r="B89" s="7"/>
      <c r="C89" s="6"/>
      <c r="D89" s="6"/>
      <c r="E89" s="6"/>
      <c r="F89" s="6"/>
      <c r="G89" s="9"/>
      <c r="H89" s="9"/>
      <c r="I89" s="2" t="s">
        <v>27</v>
      </c>
      <c r="J89" s="2" t="s">
        <v>28</v>
      </c>
      <c r="K89" s="4">
        <v>1.1000000000000001</v>
      </c>
      <c r="L89" s="4">
        <v>2</v>
      </c>
      <c r="M89" s="2">
        <v>2.2000000000000002</v>
      </c>
      <c r="N89" s="10"/>
      <c r="O89" s="6"/>
    </row>
    <row r="90" spans="1:15" s="5" customFormat="1" ht="14.45" customHeight="1" x14ac:dyDescent="0.2">
      <c r="A90" s="6">
        <v>39</v>
      </c>
      <c r="B90" s="7" t="s">
        <v>1148</v>
      </c>
      <c r="C90" s="6" t="s">
        <v>1149</v>
      </c>
      <c r="D90" s="6" t="s">
        <v>1150</v>
      </c>
      <c r="E90" s="6" t="s">
        <v>1151</v>
      </c>
      <c r="F90" s="6" t="s">
        <v>826</v>
      </c>
      <c r="G90" s="8" t="s">
        <v>23</v>
      </c>
      <c r="H90" s="8">
        <v>26</v>
      </c>
      <c r="I90" s="2" t="s">
        <v>24</v>
      </c>
      <c r="J90" s="2" t="s">
        <v>25</v>
      </c>
      <c r="K90" s="4">
        <v>0.9</v>
      </c>
      <c r="L90" s="4">
        <v>1</v>
      </c>
      <c r="M90" s="2">
        <v>0.9</v>
      </c>
      <c r="N90" s="10" t="s">
        <v>1152</v>
      </c>
      <c r="O90" s="6">
        <f>103.01*12</f>
        <v>1236.1200000000001</v>
      </c>
    </row>
    <row r="91" spans="1:15" s="5" customFormat="1" x14ac:dyDescent="0.2">
      <c r="A91" s="6"/>
      <c r="B91" s="7"/>
      <c r="C91" s="6"/>
      <c r="D91" s="6"/>
      <c r="E91" s="6"/>
      <c r="F91" s="6"/>
      <c r="G91" s="9"/>
      <c r="H91" s="9"/>
      <c r="I91" s="2" t="s">
        <v>27</v>
      </c>
      <c r="J91" s="2" t="s">
        <v>28</v>
      </c>
      <c r="K91" s="4">
        <v>1.1000000000000001</v>
      </c>
      <c r="L91" s="4">
        <v>3</v>
      </c>
      <c r="M91" s="2">
        <v>3.3000000000000003</v>
      </c>
      <c r="N91" s="10"/>
      <c r="O91" s="6"/>
    </row>
    <row r="92" spans="1:15" s="5" customFormat="1" ht="14.45" customHeight="1" x14ac:dyDescent="0.2">
      <c r="A92" s="6">
        <v>40</v>
      </c>
      <c r="B92" s="7" t="s">
        <v>1153</v>
      </c>
      <c r="C92" s="6" t="s">
        <v>1154</v>
      </c>
      <c r="D92" s="6" t="s">
        <v>1155</v>
      </c>
      <c r="E92" s="6" t="s">
        <v>1156</v>
      </c>
      <c r="F92" s="6" t="s">
        <v>826</v>
      </c>
      <c r="G92" s="8" t="s">
        <v>23</v>
      </c>
      <c r="H92" s="8">
        <v>8</v>
      </c>
      <c r="I92" s="2" t="s">
        <v>24</v>
      </c>
      <c r="J92" s="2" t="s">
        <v>25</v>
      </c>
      <c r="K92" s="4">
        <v>0.9</v>
      </c>
      <c r="L92" s="4">
        <v>1</v>
      </c>
      <c r="M92" s="2">
        <v>0.9</v>
      </c>
      <c r="N92" s="10" t="s">
        <v>1157</v>
      </c>
      <c r="O92" s="6">
        <f>35.87*12+0.43*12+0.07*12</f>
        <v>436.43999999999994</v>
      </c>
    </row>
    <row r="93" spans="1:15" s="5" customFormat="1" x14ac:dyDescent="0.2">
      <c r="A93" s="6"/>
      <c r="B93" s="7"/>
      <c r="C93" s="6"/>
      <c r="D93" s="6"/>
      <c r="E93" s="6"/>
      <c r="F93" s="6"/>
      <c r="G93" s="9"/>
      <c r="H93" s="9"/>
      <c r="I93" s="2" t="s">
        <v>27</v>
      </c>
      <c r="J93" s="2" t="s">
        <v>28</v>
      </c>
      <c r="K93" s="4">
        <v>1.1000000000000001</v>
      </c>
      <c r="L93" s="4">
        <v>1</v>
      </c>
      <c r="M93" s="2">
        <v>1.1000000000000001</v>
      </c>
      <c r="N93" s="10"/>
      <c r="O93" s="6"/>
    </row>
    <row r="94" spans="1:15" s="5" customFormat="1" ht="14.45" customHeight="1" x14ac:dyDescent="0.2">
      <c r="A94" s="6">
        <v>41</v>
      </c>
      <c r="B94" s="7" t="s">
        <v>1158</v>
      </c>
      <c r="C94" s="6" t="s">
        <v>1159</v>
      </c>
      <c r="D94" s="6" t="s">
        <v>1160</v>
      </c>
      <c r="E94" s="6" t="s">
        <v>1161</v>
      </c>
      <c r="F94" s="6" t="s">
        <v>826</v>
      </c>
      <c r="G94" s="8" t="s">
        <v>23</v>
      </c>
      <c r="H94" s="8">
        <v>10</v>
      </c>
      <c r="I94" s="2" t="s">
        <v>24</v>
      </c>
      <c r="J94" s="2" t="s">
        <v>25</v>
      </c>
      <c r="K94" s="4">
        <v>0.9</v>
      </c>
      <c r="L94" s="4">
        <v>1</v>
      </c>
      <c r="M94" s="2">
        <v>0.9</v>
      </c>
      <c r="N94" s="10" t="s">
        <v>1162</v>
      </c>
      <c r="O94" s="6">
        <f>35.3*12+0.76*12+1.72*12</f>
        <v>453.35999999999996</v>
      </c>
    </row>
    <row r="95" spans="1:15" s="5" customFormat="1" x14ac:dyDescent="0.2">
      <c r="A95" s="6"/>
      <c r="B95" s="7"/>
      <c r="C95" s="6"/>
      <c r="D95" s="6"/>
      <c r="E95" s="6"/>
      <c r="F95" s="6"/>
      <c r="G95" s="9"/>
      <c r="H95" s="9"/>
      <c r="I95" s="2" t="s">
        <v>27</v>
      </c>
      <c r="J95" s="2" t="s">
        <v>28</v>
      </c>
      <c r="K95" s="4">
        <v>1.1000000000000001</v>
      </c>
      <c r="L95" s="4">
        <v>1</v>
      </c>
      <c r="M95" s="2">
        <v>1.1000000000000001</v>
      </c>
      <c r="N95" s="10"/>
      <c r="O95" s="6"/>
    </row>
    <row r="96" spans="1:15" s="5" customFormat="1" ht="14.45" customHeight="1" x14ac:dyDescent="0.2">
      <c r="A96" s="6">
        <v>42</v>
      </c>
      <c r="B96" s="7" t="s">
        <v>1163</v>
      </c>
      <c r="C96" s="6" t="s">
        <v>1164</v>
      </c>
      <c r="D96" s="6" t="s">
        <v>1165</v>
      </c>
      <c r="E96" s="6" t="s">
        <v>1166</v>
      </c>
      <c r="F96" s="6" t="s">
        <v>826</v>
      </c>
      <c r="G96" s="8" t="s">
        <v>23</v>
      </c>
      <c r="H96" s="8">
        <v>16</v>
      </c>
      <c r="I96" s="2" t="s">
        <v>24</v>
      </c>
      <c r="J96" s="2" t="s">
        <v>25</v>
      </c>
      <c r="K96" s="4">
        <v>0.9</v>
      </c>
      <c r="L96" s="4">
        <v>1</v>
      </c>
      <c r="M96" s="2">
        <v>0.9</v>
      </c>
      <c r="N96" s="10" t="s">
        <v>1167</v>
      </c>
      <c r="O96" s="6">
        <f>35.2*12</f>
        <v>422.40000000000003</v>
      </c>
    </row>
    <row r="97" spans="1:15" s="5" customFormat="1" x14ac:dyDescent="0.2">
      <c r="A97" s="6"/>
      <c r="B97" s="7"/>
      <c r="C97" s="6"/>
      <c r="D97" s="6"/>
      <c r="E97" s="6"/>
      <c r="F97" s="6"/>
      <c r="G97" s="9"/>
      <c r="H97" s="9"/>
      <c r="I97" s="2" t="s">
        <v>27</v>
      </c>
      <c r="J97" s="2" t="s">
        <v>28</v>
      </c>
      <c r="K97" s="4">
        <v>1.1000000000000001</v>
      </c>
      <c r="L97" s="4">
        <v>1</v>
      </c>
      <c r="M97" s="2">
        <v>1.1000000000000001</v>
      </c>
      <c r="N97" s="10"/>
      <c r="O97" s="6"/>
    </row>
    <row r="98" spans="1:15" s="5" customFormat="1" ht="14.45" customHeight="1" x14ac:dyDescent="0.2">
      <c r="A98" s="6">
        <v>43</v>
      </c>
      <c r="B98" s="7" t="s">
        <v>1323</v>
      </c>
      <c r="C98" s="6" t="s">
        <v>1324</v>
      </c>
      <c r="D98" s="6" t="s">
        <v>1325</v>
      </c>
      <c r="E98" s="6" t="s">
        <v>1326</v>
      </c>
      <c r="F98" s="6" t="s">
        <v>22</v>
      </c>
      <c r="G98" s="8" t="s">
        <v>23</v>
      </c>
      <c r="H98" s="8">
        <v>12</v>
      </c>
      <c r="I98" s="2" t="s">
        <v>24</v>
      </c>
      <c r="J98" s="2" t="s">
        <v>25</v>
      </c>
      <c r="K98" s="4">
        <v>0.9</v>
      </c>
      <c r="L98" s="4">
        <v>1</v>
      </c>
      <c r="M98" s="2">
        <v>0.9</v>
      </c>
      <c r="N98" s="10" t="s">
        <v>1327</v>
      </c>
      <c r="O98" s="6">
        <f>39.31*12+16.52*12+0.36*12+0.5*12</f>
        <v>680.28000000000009</v>
      </c>
    </row>
    <row r="99" spans="1:15" s="5" customFormat="1" ht="41.25" customHeight="1" x14ac:dyDescent="0.2">
      <c r="A99" s="6"/>
      <c r="B99" s="7"/>
      <c r="C99" s="6"/>
      <c r="D99" s="6"/>
      <c r="E99" s="6"/>
      <c r="F99" s="6"/>
      <c r="G99" s="9"/>
      <c r="H99" s="9"/>
      <c r="I99" s="2" t="s">
        <v>27</v>
      </c>
      <c r="J99" s="2" t="s">
        <v>28</v>
      </c>
      <c r="K99" s="4">
        <v>1.1000000000000001</v>
      </c>
      <c r="L99" s="4">
        <v>2</v>
      </c>
      <c r="M99" s="2">
        <v>2.2000000000000002</v>
      </c>
      <c r="N99" s="10"/>
      <c r="O99" s="6"/>
    </row>
    <row r="100" spans="1:15" s="5" customFormat="1" ht="14.45" customHeight="1" x14ac:dyDescent="0.2">
      <c r="A100" s="6">
        <v>44</v>
      </c>
      <c r="B100" s="7" t="s">
        <v>1338</v>
      </c>
      <c r="C100" s="6" t="s">
        <v>1339</v>
      </c>
      <c r="D100" s="6" t="s">
        <v>1340</v>
      </c>
      <c r="E100" s="6" t="s">
        <v>1341</v>
      </c>
      <c r="F100" s="6" t="s">
        <v>22</v>
      </c>
      <c r="G100" s="8" t="s">
        <v>23</v>
      </c>
      <c r="H100" s="8">
        <v>30</v>
      </c>
      <c r="I100" s="2" t="s">
        <v>130</v>
      </c>
      <c r="J100" s="2" t="s">
        <v>131</v>
      </c>
      <c r="K100" s="4">
        <v>8</v>
      </c>
      <c r="L100" s="4">
        <v>1</v>
      </c>
      <c r="M100" s="2">
        <v>8</v>
      </c>
      <c r="N100" s="10" t="s">
        <v>1342</v>
      </c>
      <c r="O100" s="6">
        <f>178.43*12+4.75*12</f>
        <v>2198.16</v>
      </c>
    </row>
    <row r="101" spans="1:15" s="5" customFormat="1" x14ac:dyDescent="0.2">
      <c r="A101" s="6"/>
      <c r="B101" s="7"/>
      <c r="C101" s="6"/>
      <c r="D101" s="6"/>
      <c r="E101" s="6"/>
      <c r="F101" s="6"/>
      <c r="G101" s="20"/>
      <c r="H101" s="20"/>
      <c r="I101" s="2" t="s">
        <v>24</v>
      </c>
      <c r="J101" s="2" t="s">
        <v>25</v>
      </c>
      <c r="K101" s="4">
        <v>0.9</v>
      </c>
      <c r="L101" s="4">
        <v>1</v>
      </c>
      <c r="M101" s="2">
        <v>0.9</v>
      </c>
      <c r="N101" s="10"/>
      <c r="O101" s="6"/>
    </row>
    <row r="102" spans="1:15" s="5" customFormat="1" x14ac:dyDescent="0.2">
      <c r="A102" s="6"/>
      <c r="B102" s="7"/>
      <c r="C102" s="6"/>
      <c r="D102" s="6"/>
      <c r="E102" s="6"/>
      <c r="F102" s="6"/>
      <c r="G102" s="9"/>
      <c r="H102" s="9"/>
      <c r="I102" s="2" t="s">
        <v>27</v>
      </c>
      <c r="J102" s="2" t="s">
        <v>28</v>
      </c>
      <c r="K102" s="4">
        <v>1.1000000000000001</v>
      </c>
      <c r="L102" s="4">
        <v>2</v>
      </c>
      <c r="M102" s="2">
        <v>2.2000000000000002</v>
      </c>
      <c r="N102" s="10"/>
      <c r="O102" s="6"/>
    </row>
    <row r="103" spans="1:15" s="5" customFormat="1" ht="14.45" customHeight="1" x14ac:dyDescent="0.2">
      <c r="A103" s="6">
        <v>45</v>
      </c>
      <c r="B103" s="7" t="s">
        <v>1260</v>
      </c>
      <c r="C103" s="6" t="s">
        <v>1261</v>
      </c>
      <c r="D103" s="6" t="s">
        <v>1262</v>
      </c>
      <c r="E103" s="6" t="s">
        <v>1263</v>
      </c>
      <c r="F103" s="6" t="s">
        <v>22</v>
      </c>
      <c r="G103" s="8" t="s">
        <v>23</v>
      </c>
      <c r="H103" s="8">
        <v>12</v>
      </c>
      <c r="I103" s="2" t="s">
        <v>24</v>
      </c>
      <c r="J103" s="2" t="s">
        <v>25</v>
      </c>
      <c r="K103" s="4">
        <v>0.9</v>
      </c>
      <c r="L103" s="4">
        <v>1</v>
      </c>
      <c r="M103" s="2">
        <v>0.9</v>
      </c>
      <c r="N103" s="10" t="s">
        <v>1264</v>
      </c>
      <c r="O103" s="6">
        <f>41.94*12</f>
        <v>503.28</v>
      </c>
    </row>
    <row r="104" spans="1:15" s="5" customFormat="1" x14ac:dyDescent="0.2">
      <c r="A104" s="6"/>
      <c r="B104" s="7"/>
      <c r="C104" s="6"/>
      <c r="D104" s="6"/>
      <c r="E104" s="6"/>
      <c r="F104" s="6"/>
      <c r="G104" s="9"/>
      <c r="H104" s="9"/>
      <c r="I104" s="2" t="s">
        <v>27</v>
      </c>
      <c r="J104" s="2" t="s">
        <v>28</v>
      </c>
      <c r="K104" s="4">
        <v>1.1000000000000001</v>
      </c>
      <c r="L104" s="4">
        <v>2</v>
      </c>
      <c r="M104" s="2">
        <v>2.2000000000000002</v>
      </c>
      <c r="N104" s="10"/>
      <c r="O104" s="6"/>
    </row>
    <row r="105" spans="1:15" s="5" customFormat="1" ht="14.45" customHeight="1" x14ac:dyDescent="0.2">
      <c r="A105" s="6">
        <v>46</v>
      </c>
      <c r="B105" s="7" t="s">
        <v>1265</v>
      </c>
      <c r="C105" s="6" t="s">
        <v>1266</v>
      </c>
      <c r="D105" s="6" t="s">
        <v>1267</v>
      </c>
      <c r="E105" s="6" t="s">
        <v>1268</v>
      </c>
      <c r="F105" s="6" t="s">
        <v>22</v>
      </c>
      <c r="G105" s="8" t="s">
        <v>23</v>
      </c>
      <c r="H105" s="8">
        <v>27</v>
      </c>
      <c r="I105" s="2" t="s">
        <v>130</v>
      </c>
      <c r="J105" s="2" t="s">
        <v>131</v>
      </c>
      <c r="K105" s="4">
        <v>8</v>
      </c>
      <c r="L105" s="4">
        <v>1</v>
      </c>
      <c r="M105" s="2">
        <v>8</v>
      </c>
      <c r="N105" s="10" t="s">
        <v>1269</v>
      </c>
      <c r="O105" s="6">
        <f>93.16*12</f>
        <v>1117.92</v>
      </c>
    </row>
    <row r="106" spans="1:15" s="5" customFormat="1" x14ac:dyDescent="0.2">
      <c r="A106" s="6"/>
      <c r="B106" s="7"/>
      <c r="C106" s="6"/>
      <c r="D106" s="6"/>
      <c r="E106" s="6"/>
      <c r="F106" s="6"/>
      <c r="G106" s="20"/>
      <c r="H106" s="20"/>
      <c r="I106" s="2" t="s">
        <v>24</v>
      </c>
      <c r="J106" s="2" t="s">
        <v>25</v>
      </c>
      <c r="K106" s="4">
        <v>0.9</v>
      </c>
      <c r="L106" s="4">
        <v>1</v>
      </c>
      <c r="M106" s="2">
        <v>0.9</v>
      </c>
      <c r="N106" s="10"/>
      <c r="O106" s="6"/>
    </row>
    <row r="107" spans="1:15" s="5" customFormat="1" x14ac:dyDescent="0.2">
      <c r="A107" s="6"/>
      <c r="B107" s="7"/>
      <c r="C107" s="6"/>
      <c r="D107" s="6"/>
      <c r="E107" s="6"/>
      <c r="F107" s="6"/>
      <c r="G107" s="9"/>
      <c r="H107" s="9"/>
      <c r="I107" s="2" t="s">
        <v>27</v>
      </c>
      <c r="J107" s="2" t="s">
        <v>28</v>
      </c>
      <c r="K107" s="4">
        <v>1.1000000000000001</v>
      </c>
      <c r="L107" s="4">
        <v>2</v>
      </c>
      <c r="M107" s="2">
        <v>2.2000000000000002</v>
      </c>
      <c r="N107" s="10"/>
      <c r="O107" s="6"/>
    </row>
    <row r="108" spans="1:15" s="5" customFormat="1" ht="14.45" customHeight="1" x14ac:dyDescent="0.2">
      <c r="A108" s="6">
        <v>47</v>
      </c>
      <c r="B108" s="7" t="s">
        <v>1255</v>
      </c>
      <c r="C108" s="6" t="s">
        <v>1256</v>
      </c>
      <c r="D108" s="6" t="s">
        <v>1257</v>
      </c>
      <c r="E108" s="6" t="s">
        <v>1258</v>
      </c>
      <c r="F108" s="6" t="s">
        <v>22</v>
      </c>
      <c r="G108" s="8" t="s">
        <v>23</v>
      </c>
      <c r="H108" s="8">
        <v>12</v>
      </c>
      <c r="I108" s="2" t="s">
        <v>24</v>
      </c>
      <c r="J108" s="2" t="s">
        <v>25</v>
      </c>
      <c r="K108" s="4">
        <v>0.9</v>
      </c>
      <c r="L108" s="4">
        <v>1</v>
      </c>
      <c r="M108" s="2">
        <v>0.9</v>
      </c>
      <c r="N108" s="10" t="s">
        <v>1259</v>
      </c>
      <c r="O108" s="6">
        <f>50.73*12</f>
        <v>608.76</v>
      </c>
    </row>
    <row r="109" spans="1:15" s="5" customFormat="1" x14ac:dyDescent="0.2">
      <c r="A109" s="6"/>
      <c r="B109" s="7"/>
      <c r="C109" s="6"/>
      <c r="D109" s="6"/>
      <c r="E109" s="6"/>
      <c r="F109" s="6"/>
      <c r="G109" s="9"/>
      <c r="H109" s="9"/>
      <c r="I109" s="2" t="s">
        <v>27</v>
      </c>
      <c r="J109" s="2" t="s">
        <v>28</v>
      </c>
      <c r="K109" s="4">
        <v>1.1000000000000001</v>
      </c>
      <c r="L109" s="4">
        <v>2</v>
      </c>
      <c r="M109" s="2">
        <v>2.2000000000000002</v>
      </c>
      <c r="N109" s="10"/>
      <c r="O109" s="6"/>
    </row>
    <row r="110" spans="1:15" s="5" customFormat="1" ht="14.45" customHeight="1" x14ac:dyDescent="0.2">
      <c r="A110" s="6">
        <v>48</v>
      </c>
      <c r="B110" s="7" t="s">
        <v>1236</v>
      </c>
      <c r="C110" s="6" t="s">
        <v>1237</v>
      </c>
      <c r="D110" s="6" t="s">
        <v>1238</v>
      </c>
      <c r="E110" s="6" t="s">
        <v>1239</v>
      </c>
      <c r="F110" s="6" t="s">
        <v>22</v>
      </c>
      <c r="G110" s="8" t="s">
        <v>23</v>
      </c>
      <c r="H110" s="8">
        <v>27</v>
      </c>
      <c r="I110" s="2" t="s">
        <v>130</v>
      </c>
      <c r="J110" s="2" t="s">
        <v>131</v>
      </c>
      <c r="K110" s="4">
        <v>8</v>
      </c>
      <c r="L110" s="4">
        <v>1</v>
      </c>
      <c r="M110" s="2">
        <v>8</v>
      </c>
      <c r="N110" s="10" t="s">
        <v>1240</v>
      </c>
      <c r="O110" s="6">
        <f>91.83*12+2.55*12+0.9*12+0.14*12+0.36*12+1.38*12</f>
        <v>1165.9199999999998</v>
      </c>
    </row>
    <row r="111" spans="1:15" s="5" customFormat="1" x14ac:dyDescent="0.2">
      <c r="A111" s="6"/>
      <c r="B111" s="7"/>
      <c r="C111" s="6"/>
      <c r="D111" s="6"/>
      <c r="E111" s="6"/>
      <c r="F111" s="6"/>
      <c r="G111" s="20"/>
      <c r="H111" s="20"/>
      <c r="I111" s="2" t="s">
        <v>24</v>
      </c>
      <c r="J111" s="2" t="s">
        <v>25</v>
      </c>
      <c r="K111" s="4">
        <v>0.9</v>
      </c>
      <c r="L111" s="4">
        <v>1</v>
      </c>
      <c r="M111" s="2">
        <v>0.9</v>
      </c>
      <c r="N111" s="10"/>
      <c r="O111" s="6"/>
    </row>
    <row r="112" spans="1:15" s="5" customFormat="1" ht="12" customHeight="1" x14ac:dyDescent="0.2">
      <c r="A112" s="6"/>
      <c r="B112" s="7"/>
      <c r="C112" s="6"/>
      <c r="D112" s="6"/>
      <c r="E112" s="6"/>
      <c r="F112" s="6"/>
      <c r="G112" s="9"/>
      <c r="H112" s="9"/>
      <c r="I112" s="2" t="s">
        <v>27</v>
      </c>
      <c r="J112" s="2" t="s">
        <v>28</v>
      </c>
      <c r="K112" s="4">
        <v>1.1000000000000001</v>
      </c>
      <c r="L112" s="4">
        <v>2</v>
      </c>
      <c r="M112" s="2">
        <v>2.2000000000000002</v>
      </c>
      <c r="N112" s="10"/>
      <c r="O112" s="6"/>
    </row>
    <row r="113" spans="1:15" s="5" customFormat="1" ht="14.45" customHeight="1" x14ac:dyDescent="0.2">
      <c r="A113" s="6">
        <v>49</v>
      </c>
      <c r="B113" s="7" t="s">
        <v>1289</v>
      </c>
      <c r="C113" s="6" t="s">
        <v>1290</v>
      </c>
      <c r="D113" s="6" t="s">
        <v>1189</v>
      </c>
      <c r="E113" s="6" t="s">
        <v>1291</v>
      </c>
      <c r="F113" s="6" t="s">
        <v>22</v>
      </c>
      <c r="G113" s="8" t="s">
        <v>23</v>
      </c>
      <c r="H113" s="8">
        <v>15</v>
      </c>
      <c r="I113" s="2" t="s">
        <v>24</v>
      </c>
      <c r="J113" s="2" t="s">
        <v>25</v>
      </c>
      <c r="K113" s="4">
        <v>0.9</v>
      </c>
      <c r="L113" s="4">
        <v>1</v>
      </c>
      <c r="M113" s="2">
        <v>0.9</v>
      </c>
      <c r="N113" s="10" t="s">
        <v>1292</v>
      </c>
      <c r="O113" s="6">
        <f>35.1*12+0.5*12</f>
        <v>427.20000000000005</v>
      </c>
    </row>
    <row r="114" spans="1:15" s="5" customFormat="1" x14ac:dyDescent="0.2">
      <c r="A114" s="6"/>
      <c r="B114" s="7"/>
      <c r="C114" s="6"/>
      <c r="D114" s="6"/>
      <c r="E114" s="6"/>
      <c r="F114" s="6"/>
      <c r="G114" s="9"/>
      <c r="H114" s="9"/>
      <c r="I114" s="2" t="s">
        <v>27</v>
      </c>
      <c r="J114" s="2" t="s">
        <v>28</v>
      </c>
      <c r="K114" s="4">
        <v>1.1000000000000001</v>
      </c>
      <c r="L114" s="4">
        <v>1</v>
      </c>
      <c r="M114" s="2">
        <v>1.1000000000000001</v>
      </c>
      <c r="N114" s="10"/>
      <c r="O114" s="6"/>
    </row>
    <row r="115" spans="1:15" s="5" customFormat="1" ht="14.45" customHeight="1" x14ac:dyDescent="0.2">
      <c r="A115" s="6">
        <v>50</v>
      </c>
      <c r="B115" s="7" t="s">
        <v>1168</v>
      </c>
      <c r="C115" s="6" t="s">
        <v>1169</v>
      </c>
      <c r="D115" s="6" t="s">
        <v>1170</v>
      </c>
      <c r="E115" s="6" t="s">
        <v>975</v>
      </c>
      <c r="F115" s="6" t="s">
        <v>826</v>
      </c>
      <c r="G115" s="8" t="s">
        <v>23</v>
      </c>
      <c r="H115" s="8">
        <v>20</v>
      </c>
      <c r="I115" s="2" t="s">
        <v>130</v>
      </c>
      <c r="J115" s="2" t="s">
        <v>131</v>
      </c>
      <c r="K115" s="4">
        <v>8</v>
      </c>
      <c r="L115" s="4">
        <v>1</v>
      </c>
      <c r="M115" s="2">
        <v>8</v>
      </c>
      <c r="N115" s="10" t="s">
        <v>1171</v>
      </c>
      <c r="O115" s="6">
        <f>322.28*12+0.14*12+0.36*12+0.69*12+0.21*12</f>
        <v>3884.16</v>
      </c>
    </row>
    <row r="116" spans="1:15" s="5" customFormat="1" x14ac:dyDescent="0.2">
      <c r="A116" s="6"/>
      <c r="B116" s="7"/>
      <c r="C116" s="6"/>
      <c r="D116" s="6"/>
      <c r="E116" s="6"/>
      <c r="F116" s="6"/>
      <c r="G116" s="20"/>
      <c r="H116" s="20"/>
      <c r="I116" s="2" t="s">
        <v>24</v>
      </c>
      <c r="J116" s="2" t="s">
        <v>25</v>
      </c>
      <c r="K116" s="4">
        <v>0.9</v>
      </c>
      <c r="L116" s="4">
        <v>1</v>
      </c>
      <c r="M116" s="2">
        <v>0.9</v>
      </c>
      <c r="N116" s="10"/>
      <c r="O116" s="6"/>
    </row>
    <row r="117" spans="1:15" s="5" customFormat="1" ht="12" customHeight="1" x14ac:dyDescent="0.2">
      <c r="A117" s="6"/>
      <c r="B117" s="7"/>
      <c r="C117" s="6"/>
      <c r="D117" s="6"/>
      <c r="E117" s="6"/>
      <c r="F117" s="6"/>
      <c r="G117" s="20"/>
      <c r="H117" s="20"/>
      <c r="I117" s="2" t="s">
        <v>27</v>
      </c>
      <c r="J117" s="2" t="s">
        <v>131</v>
      </c>
      <c r="K117" s="4">
        <v>8</v>
      </c>
      <c r="L117" s="4">
        <v>0</v>
      </c>
      <c r="M117" s="2">
        <v>0</v>
      </c>
      <c r="N117" s="10"/>
      <c r="O117" s="6"/>
    </row>
    <row r="118" spans="1:15" s="5" customFormat="1" ht="12.75" customHeight="1" x14ac:dyDescent="0.2">
      <c r="A118" s="6"/>
      <c r="B118" s="7"/>
      <c r="C118" s="6"/>
      <c r="D118" s="6"/>
      <c r="E118" s="6"/>
      <c r="F118" s="6"/>
      <c r="G118" s="9"/>
      <c r="H118" s="9"/>
      <c r="I118" s="2" t="s">
        <v>27</v>
      </c>
      <c r="J118" s="2" t="s">
        <v>28</v>
      </c>
      <c r="K118" s="4">
        <v>1.1000000000000001</v>
      </c>
      <c r="L118" s="4">
        <v>4</v>
      </c>
      <c r="M118" s="2">
        <v>4.4000000000000004</v>
      </c>
      <c r="N118" s="10"/>
      <c r="O118" s="6"/>
    </row>
    <row r="119" spans="1:15" s="5" customFormat="1" ht="14.45" customHeight="1" x14ac:dyDescent="0.2">
      <c r="A119" s="6">
        <v>51</v>
      </c>
      <c r="B119" s="7" t="s">
        <v>1241</v>
      </c>
      <c r="C119" s="6" t="s">
        <v>1242</v>
      </c>
      <c r="D119" s="6" t="s">
        <v>1243</v>
      </c>
      <c r="E119" s="6" t="s">
        <v>1244</v>
      </c>
      <c r="F119" s="6" t="s">
        <v>22</v>
      </c>
      <c r="G119" s="8" t="s">
        <v>23</v>
      </c>
      <c r="H119" s="8">
        <v>12</v>
      </c>
      <c r="I119" s="2" t="s">
        <v>24</v>
      </c>
      <c r="J119" s="2" t="s">
        <v>25</v>
      </c>
      <c r="K119" s="4">
        <v>0.9</v>
      </c>
      <c r="L119" s="4">
        <v>1</v>
      </c>
      <c r="M119" s="2">
        <v>0.9</v>
      </c>
      <c r="N119" s="10" t="s">
        <v>1245</v>
      </c>
      <c r="O119" s="6">
        <f>44.38*12</f>
        <v>532.56000000000006</v>
      </c>
    </row>
    <row r="120" spans="1:15" s="5" customFormat="1" x14ac:dyDescent="0.2">
      <c r="A120" s="6"/>
      <c r="B120" s="7"/>
      <c r="C120" s="6"/>
      <c r="D120" s="6"/>
      <c r="E120" s="6"/>
      <c r="F120" s="6"/>
      <c r="G120" s="9"/>
      <c r="H120" s="9"/>
      <c r="I120" s="2" t="s">
        <v>27</v>
      </c>
      <c r="J120" s="2" t="s">
        <v>28</v>
      </c>
      <c r="K120" s="4">
        <v>1.1000000000000001</v>
      </c>
      <c r="L120" s="4">
        <v>1</v>
      </c>
      <c r="M120" s="2">
        <v>1.1000000000000001</v>
      </c>
      <c r="N120" s="10"/>
      <c r="O120" s="6"/>
    </row>
    <row r="121" spans="1:15" s="5" customFormat="1" ht="14.45" customHeight="1" x14ac:dyDescent="0.2">
      <c r="A121" s="6">
        <v>52</v>
      </c>
      <c r="B121" s="7" t="s">
        <v>1231</v>
      </c>
      <c r="C121" s="6" t="s">
        <v>1232</v>
      </c>
      <c r="D121" s="6" t="s">
        <v>1233</v>
      </c>
      <c r="E121" s="6" t="s">
        <v>1234</v>
      </c>
      <c r="F121" s="6" t="s">
        <v>22</v>
      </c>
      <c r="G121" s="8" t="s">
        <v>23</v>
      </c>
      <c r="H121" s="8">
        <v>27</v>
      </c>
      <c r="I121" s="2" t="s">
        <v>130</v>
      </c>
      <c r="J121" s="2" t="s">
        <v>131</v>
      </c>
      <c r="K121" s="4">
        <v>8</v>
      </c>
      <c r="L121" s="4">
        <v>1</v>
      </c>
      <c r="M121" s="2">
        <v>8</v>
      </c>
      <c r="N121" s="10" t="s">
        <v>1235</v>
      </c>
      <c r="O121" s="6">
        <f>89.39*12+0.65*12+1.42*12+1.9*12</f>
        <v>1120.32</v>
      </c>
    </row>
    <row r="122" spans="1:15" s="5" customFormat="1" x14ac:dyDescent="0.2">
      <c r="A122" s="6"/>
      <c r="B122" s="7"/>
      <c r="C122" s="6"/>
      <c r="D122" s="6"/>
      <c r="E122" s="6"/>
      <c r="F122" s="6"/>
      <c r="G122" s="20"/>
      <c r="H122" s="20"/>
      <c r="I122" s="2" t="s">
        <v>24</v>
      </c>
      <c r="J122" s="2" t="s">
        <v>25</v>
      </c>
      <c r="K122" s="4">
        <v>0.9</v>
      </c>
      <c r="L122" s="4">
        <v>1</v>
      </c>
      <c r="M122" s="2">
        <v>0.9</v>
      </c>
      <c r="N122" s="10"/>
      <c r="O122" s="6"/>
    </row>
    <row r="123" spans="1:15" s="5" customFormat="1" ht="29.25" customHeight="1" x14ac:dyDescent="0.2">
      <c r="A123" s="6"/>
      <c r="B123" s="7"/>
      <c r="C123" s="6"/>
      <c r="D123" s="6"/>
      <c r="E123" s="6"/>
      <c r="F123" s="6"/>
      <c r="G123" s="9"/>
      <c r="H123" s="9"/>
      <c r="I123" s="2" t="s">
        <v>27</v>
      </c>
      <c r="J123" s="2" t="s">
        <v>28</v>
      </c>
      <c r="K123" s="4">
        <v>1.1000000000000001</v>
      </c>
      <c r="L123" s="4">
        <v>2</v>
      </c>
      <c r="M123" s="2">
        <v>2.2000000000000002</v>
      </c>
      <c r="N123" s="10"/>
      <c r="O123" s="6"/>
    </row>
    <row r="124" spans="1:15" s="5" customFormat="1" ht="14.45" customHeight="1" x14ac:dyDescent="0.2">
      <c r="A124" s="6">
        <v>53</v>
      </c>
      <c r="B124" s="7" t="s">
        <v>1226</v>
      </c>
      <c r="C124" s="6" t="s">
        <v>1227</v>
      </c>
      <c r="D124" s="6" t="s">
        <v>1228</v>
      </c>
      <c r="E124" s="6" t="s">
        <v>1229</v>
      </c>
      <c r="F124" s="6" t="s">
        <v>22</v>
      </c>
      <c r="G124" s="8" t="s">
        <v>23</v>
      </c>
      <c r="H124" s="8">
        <v>15</v>
      </c>
      <c r="I124" s="2" t="s">
        <v>24</v>
      </c>
      <c r="J124" s="2" t="s">
        <v>25</v>
      </c>
      <c r="K124" s="4">
        <v>0.9</v>
      </c>
      <c r="L124" s="4">
        <v>1</v>
      </c>
      <c r="M124" s="2">
        <v>0.9</v>
      </c>
      <c r="N124" s="10" t="s">
        <v>1230</v>
      </c>
      <c r="O124" s="6">
        <f>19.51*12</f>
        <v>234.12</v>
      </c>
    </row>
    <row r="125" spans="1:15" s="5" customFormat="1" x14ac:dyDescent="0.2">
      <c r="A125" s="6"/>
      <c r="B125" s="7"/>
      <c r="C125" s="6"/>
      <c r="D125" s="6"/>
      <c r="E125" s="6"/>
      <c r="F125" s="6"/>
      <c r="G125" s="9"/>
      <c r="H125" s="9"/>
      <c r="I125" s="2" t="s">
        <v>27</v>
      </c>
      <c r="J125" s="2" t="s">
        <v>28</v>
      </c>
      <c r="K125" s="4">
        <v>1.1000000000000001</v>
      </c>
      <c r="L125" s="4">
        <v>2</v>
      </c>
      <c r="M125" s="2">
        <v>2.2000000000000002</v>
      </c>
      <c r="N125" s="10"/>
      <c r="O125" s="6"/>
    </row>
    <row r="126" spans="1:15" s="5" customFormat="1" ht="14.45" customHeight="1" x14ac:dyDescent="0.2">
      <c r="A126" s="6">
        <v>54</v>
      </c>
      <c r="B126" s="7" t="s">
        <v>1246</v>
      </c>
      <c r="C126" s="6" t="s">
        <v>1247</v>
      </c>
      <c r="D126" s="6" t="s">
        <v>1248</v>
      </c>
      <c r="E126" s="6" t="s">
        <v>1249</v>
      </c>
      <c r="F126" s="6" t="s">
        <v>22</v>
      </c>
      <c r="G126" s="8" t="s">
        <v>23</v>
      </c>
      <c r="H126" s="8">
        <v>15</v>
      </c>
      <c r="I126" s="2" t="s">
        <v>24</v>
      </c>
      <c r="J126" s="2" t="s">
        <v>25</v>
      </c>
      <c r="K126" s="4">
        <v>0.9</v>
      </c>
      <c r="L126" s="4">
        <v>1</v>
      </c>
      <c r="M126" s="2">
        <v>0.9</v>
      </c>
      <c r="N126" s="10" t="s">
        <v>306</v>
      </c>
      <c r="O126" s="6">
        <f>21.48*12</f>
        <v>257.76</v>
      </c>
    </row>
    <row r="127" spans="1:15" s="5" customFormat="1" x14ac:dyDescent="0.2">
      <c r="A127" s="6"/>
      <c r="B127" s="7"/>
      <c r="C127" s="6"/>
      <c r="D127" s="6"/>
      <c r="E127" s="6"/>
      <c r="F127" s="6"/>
      <c r="G127" s="9"/>
      <c r="H127" s="9"/>
      <c r="I127" s="2" t="s">
        <v>27</v>
      </c>
      <c r="J127" s="2" t="s">
        <v>28</v>
      </c>
      <c r="K127" s="4">
        <v>1.1000000000000001</v>
      </c>
      <c r="L127" s="4">
        <v>2</v>
      </c>
      <c r="M127" s="2">
        <v>2.2000000000000002</v>
      </c>
      <c r="N127" s="10"/>
      <c r="O127" s="6"/>
    </row>
    <row r="128" spans="1:15" s="5" customFormat="1" ht="14.45" customHeight="1" x14ac:dyDescent="0.2">
      <c r="A128" s="6">
        <v>55</v>
      </c>
      <c r="B128" s="7" t="s">
        <v>1172</v>
      </c>
      <c r="C128" s="6" t="s">
        <v>1173</v>
      </c>
      <c r="D128" s="6" t="s">
        <v>1174</v>
      </c>
      <c r="E128" s="6" t="s">
        <v>1175</v>
      </c>
      <c r="F128" s="6" t="s">
        <v>826</v>
      </c>
      <c r="G128" s="8" t="s">
        <v>23</v>
      </c>
      <c r="H128" s="8">
        <v>18</v>
      </c>
      <c r="I128" s="2" t="s">
        <v>24</v>
      </c>
      <c r="J128" s="2" t="s">
        <v>25</v>
      </c>
      <c r="K128" s="4">
        <v>0.9</v>
      </c>
      <c r="L128" s="4">
        <v>1</v>
      </c>
      <c r="M128" s="2">
        <v>0.9</v>
      </c>
      <c r="N128" s="10" t="s">
        <v>1176</v>
      </c>
      <c r="O128" s="6">
        <f>72.59*12</f>
        <v>871.08</v>
      </c>
    </row>
    <row r="129" spans="1:15" s="5" customFormat="1" x14ac:dyDescent="0.2">
      <c r="A129" s="6"/>
      <c r="B129" s="7"/>
      <c r="C129" s="6"/>
      <c r="D129" s="6"/>
      <c r="E129" s="6"/>
      <c r="F129" s="6"/>
      <c r="G129" s="9"/>
      <c r="H129" s="9"/>
      <c r="I129" s="2" t="s">
        <v>27</v>
      </c>
      <c r="J129" s="2" t="s">
        <v>28</v>
      </c>
      <c r="K129" s="4">
        <v>1.1000000000000001</v>
      </c>
      <c r="L129" s="4">
        <v>2</v>
      </c>
      <c r="M129" s="2">
        <v>2.2000000000000002</v>
      </c>
      <c r="N129" s="10"/>
      <c r="O129" s="6"/>
    </row>
    <row r="130" spans="1:15" s="5" customFormat="1" ht="14.45" customHeight="1" x14ac:dyDescent="0.2">
      <c r="A130" s="6">
        <v>56</v>
      </c>
      <c r="B130" s="7" t="s">
        <v>1177</v>
      </c>
      <c r="C130" s="6" t="s">
        <v>1178</v>
      </c>
      <c r="D130" s="6" t="s">
        <v>1179</v>
      </c>
      <c r="E130" s="6" t="s">
        <v>1180</v>
      </c>
      <c r="F130" s="6" t="s">
        <v>826</v>
      </c>
      <c r="G130" s="8" t="s">
        <v>23</v>
      </c>
      <c r="H130" s="8">
        <v>16</v>
      </c>
      <c r="I130" s="2" t="s">
        <v>24</v>
      </c>
      <c r="J130" s="2" t="s">
        <v>25</v>
      </c>
      <c r="K130" s="4">
        <v>0.9</v>
      </c>
      <c r="L130" s="4">
        <v>1</v>
      </c>
      <c r="M130" s="2">
        <v>0.9</v>
      </c>
      <c r="N130" s="10" t="s">
        <v>1181</v>
      </c>
      <c r="O130" s="6">
        <f>38.08*12</f>
        <v>456.96</v>
      </c>
    </row>
    <row r="131" spans="1:15" s="5" customFormat="1" x14ac:dyDescent="0.2">
      <c r="A131" s="6"/>
      <c r="B131" s="7"/>
      <c r="C131" s="6"/>
      <c r="D131" s="6"/>
      <c r="E131" s="6"/>
      <c r="F131" s="6"/>
      <c r="G131" s="9"/>
      <c r="H131" s="9"/>
      <c r="I131" s="2" t="s">
        <v>27</v>
      </c>
      <c r="J131" s="2" t="s">
        <v>28</v>
      </c>
      <c r="K131" s="4">
        <v>1.1000000000000001</v>
      </c>
      <c r="L131" s="4">
        <v>1</v>
      </c>
      <c r="M131" s="2">
        <v>1.1000000000000001</v>
      </c>
      <c r="N131" s="10"/>
      <c r="O131" s="6"/>
    </row>
    <row r="132" spans="1:15" s="5" customFormat="1" ht="14.45" customHeight="1" x14ac:dyDescent="0.2">
      <c r="A132" s="6">
        <v>57</v>
      </c>
      <c r="B132" s="7" t="s">
        <v>1182</v>
      </c>
      <c r="C132" s="6" t="s">
        <v>1183</v>
      </c>
      <c r="D132" s="6" t="s">
        <v>1184</v>
      </c>
      <c r="E132" s="6" t="s">
        <v>1185</v>
      </c>
      <c r="F132" s="6" t="s">
        <v>826</v>
      </c>
      <c r="G132" s="8" t="s">
        <v>23</v>
      </c>
      <c r="H132" s="8">
        <v>7</v>
      </c>
      <c r="I132" s="2" t="s">
        <v>24</v>
      </c>
      <c r="J132" s="2" t="s">
        <v>25</v>
      </c>
      <c r="K132" s="4">
        <v>0.9</v>
      </c>
      <c r="L132" s="4">
        <v>1</v>
      </c>
      <c r="M132" s="2">
        <v>0.9</v>
      </c>
      <c r="N132" s="10" t="s">
        <v>1186</v>
      </c>
      <c r="O132" s="6">
        <f>55.2*12+0.57*12+0.95*12+0.21*12+2.28*12+1.99*12+4.44*12+4.33*12</f>
        <v>839.6400000000001</v>
      </c>
    </row>
    <row r="133" spans="1:15" s="5" customFormat="1" ht="57" customHeight="1" x14ac:dyDescent="0.2">
      <c r="A133" s="6"/>
      <c r="B133" s="7"/>
      <c r="C133" s="6"/>
      <c r="D133" s="6"/>
      <c r="E133" s="6"/>
      <c r="F133" s="6"/>
      <c r="G133" s="9"/>
      <c r="H133" s="9"/>
      <c r="I133" s="2" t="s">
        <v>27</v>
      </c>
      <c r="J133" s="2" t="s">
        <v>28</v>
      </c>
      <c r="K133" s="4">
        <v>1.1000000000000001</v>
      </c>
      <c r="L133" s="4">
        <v>1</v>
      </c>
      <c r="M133" s="2">
        <v>1.1000000000000001</v>
      </c>
      <c r="N133" s="10"/>
      <c r="O133" s="6"/>
    </row>
    <row r="134" spans="1:15" s="5" customFormat="1" ht="14.45" customHeight="1" x14ac:dyDescent="0.2">
      <c r="A134" s="6">
        <v>58</v>
      </c>
      <c r="B134" s="7" t="s">
        <v>1187</v>
      </c>
      <c r="C134" s="6" t="s">
        <v>1188</v>
      </c>
      <c r="D134" s="6" t="s">
        <v>1189</v>
      </c>
      <c r="E134" s="6" t="s">
        <v>1190</v>
      </c>
      <c r="F134" s="6" t="s">
        <v>826</v>
      </c>
      <c r="G134" s="8" t="s">
        <v>23</v>
      </c>
      <c r="H134" s="8">
        <v>12</v>
      </c>
      <c r="I134" s="2" t="s">
        <v>24</v>
      </c>
      <c r="J134" s="2" t="s">
        <v>25</v>
      </c>
      <c r="K134" s="4">
        <v>0.9</v>
      </c>
      <c r="L134" s="4">
        <v>1</v>
      </c>
      <c r="M134" s="2">
        <v>0.9</v>
      </c>
      <c r="N134" s="10" t="s">
        <v>1191</v>
      </c>
      <c r="O134" s="6">
        <f>83.18*12+0.07*12+0.95*12+0.52*12+3.89*12+1.14*12+1.42*12+0.47*12+0.95*12+0.4*12+0.47*12+0.29*12+1.33*12+0.29*12+3.76*12+0.95*12+0.95*12+4.75*12+0.29*12+5.41*12</f>
        <v>1337.7600000000007</v>
      </c>
    </row>
    <row r="135" spans="1:15" s="5" customFormat="1" ht="156" customHeight="1" x14ac:dyDescent="0.2">
      <c r="A135" s="6"/>
      <c r="B135" s="7"/>
      <c r="C135" s="6"/>
      <c r="D135" s="6"/>
      <c r="E135" s="6"/>
      <c r="F135" s="6"/>
      <c r="G135" s="9"/>
      <c r="H135" s="9"/>
      <c r="I135" s="2" t="s">
        <v>27</v>
      </c>
      <c r="J135" s="2" t="s">
        <v>28</v>
      </c>
      <c r="K135" s="4">
        <v>1.1000000000000001</v>
      </c>
      <c r="L135" s="4">
        <v>3</v>
      </c>
      <c r="M135" s="2">
        <v>3.3000000000000003</v>
      </c>
      <c r="N135" s="10"/>
      <c r="O135" s="6"/>
    </row>
    <row r="136" spans="1:15" s="5" customFormat="1" ht="14.45" customHeight="1" x14ac:dyDescent="0.2">
      <c r="A136" s="6">
        <v>59</v>
      </c>
      <c r="B136" s="7" t="s">
        <v>1192</v>
      </c>
      <c r="C136" s="6" t="s">
        <v>1193</v>
      </c>
      <c r="D136" s="6" t="s">
        <v>1194</v>
      </c>
      <c r="E136" s="6" t="s">
        <v>1195</v>
      </c>
      <c r="F136" s="6" t="s">
        <v>826</v>
      </c>
      <c r="G136" s="8" t="s">
        <v>23</v>
      </c>
      <c r="H136" s="8">
        <v>16</v>
      </c>
      <c r="I136" s="2" t="s">
        <v>24</v>
      </c>
      <c r="J136" s="2" t="s">
        <v>25</v>
      </c>
      <c r="K136" s="4">
        <v>0.9</v>
      </c>
      <c r="L136" s="4">
        <v>1</v>
      </c>
      <c r="M136" s="2">
        <v>0.9</v>
      </c>
      <c r="N136" s="10" t="s">
        <v>1196</v>
      </c>
      <c r="O136" s="6">
        <f>105.16*12+1.95*12+0.2*12+0.36*12+1.95*12+0.29*12</f>
        <v>1318.9200000000003</v>
      </c>
    </row>
    <row r="137" spans="1:15" s="5" customFormat="1" ht="54.75" customHeight="1" x14ac:dyDescent="0.2">
      <c r="A137" s="6"/>
      <c r="B137" s="7"/>
      <c r="C137" s="6"/>
      <c r="D137" s="6"/>
      <c r="E137" s="6"/>
      <c r="F137" s="6"/>
      <c r="G137" s="9"/>
      <c r="H137" s="9"/>
      <c r="I137" s="2" t="s">
        <v>27</v>
      </c>
      <c r="J137" s="2" t="s">
        <v>28</v>
      </c>
      <c r="K137" s="4">
        <v>1.1000000000000001</v>
      </c>
      <c r="L137" s="4">
        <v>3</v>
      </c>
      <c r="M137" s="2">
        <v>3.3000000000000003</v>
      </c>
      <c r="N137" s="10"/>
      <c r="O137" s="6"/>
    </row>
    <row r="138" spans="1:15" s="5" customFormat="1" ht="14.45" customHeight="1" x14ac:dyDescent="0.2">
      <c r="A138" s="6">
        <v>60</v>
      </c>
      <c r="B138" s="7" t="s">
        <v>1222</v>
      </c>
      <c r="C138" s="6" t="s">
        <v>1223</v>
      </c>
      <c r="D138" s="6" t="s">
        <v>1224</v>
      </c>
      <c r="E138" s="6" t="s">
        <v>1225</v>
      </c>
      <c r="F138" s="6" t="s">
        <v>22</v>
      </c>
      <c r="G138" s="8" t="s">
        <v>23</v>
      </c>
      <c r="H138" s="8">
        <v>12</v>
      </c>
      <c r="I138" s="2" t="s">
        <v>24</v>
      </c>
      <c r="J138" s="2" t="s">
        <v>25</v>
      </c>
      <c r="K138" s="4">
        <v>0.9</v>
      </c>
      <c r="L138" s="4">
        <v>1</v>
      </c>
      <c r="M138" s="2">
        <v>0.9</v>
      </c>
      <c r="N138" s="10" t="s">
        <v>221</v>
      </c>
      <c r="O138" s="6">
        <f>28.99*12</f>
        <v>347.88</v>
      </c>
    </row>
    <row r="139" spans="1:15" s="5" customFormat="1" x14ac:dyDescent="0.2">
      <c r="A139" s="6"/>
      <c r="B139" s="7"/>
      <c r="C139" s="6"/>
      <c r="D139" s="6"/>
      <c r="E139" s="6"/>
      <c r="F139" s="6"/>
      <c r="G139" s="9"/>
      <c r="H139" s="9"/>
      <c r="I139" s="2" t="s">
        <v>27</v>
      </c>
      <c r="J139" s="2" t="s">
        <v>28</v>
      </c>
      <c r="K139" s="4">
        <v>1.1000000000000001</v>
      </c>
      <c r="L139" s="4">
        <v>1</v>
      </c>
      <c r="M139" s="2">
        <v>1.1000000000000001</v>
      </c>
      <c r="N139" s="10"/>
      <c r="O139" s="6"/>
    </row>
    <row r="140" spans="1:15" s="5" customFormat="1" ht="14.45" customHeight="1" x14ac:dyDescent="0.2">
      <c r="A140" s="6">
        <v>61</v>
      </c>
      <c r="B140" s="7" t="s">
        <v>1197</v>
      </c>
      <c r="C140" s="6" t="s">
        <v>1198</v>
      </c>
      <c r="D140" s="6" t="s">
        <v>1199</v>
      </c>
      <c r="E140" s="6" t="s">
        <v>1200</v>
      </c>
      <c r="F140" s="6" t="s">
        <v>826</v>
      </c>
      <c r="G140" s="8" t="s">
        <v>23</v>
      </c>
      <c r="H140" s="8">
        <v>15</v>
      </c>
      <c r="I140" s="2" t="s">
        <v>24</v>
      </c>
      <c r="J140" s="2" t="s">
        <v>25</v>
      </c>
      <c r="K140" s="4">
        <v>0.9</v>
      </c>
      <c r="L140" s="4">
        <v>1</v>
      </c>
      <c r="M140" s="2">
        <v>0.9</v>
      </c>
      <c r="N140" s="10" t="s">
        <v>1201</v>
      </c>
      <c r="O140" s="6">
        <f>42.9*12</f>
        <v>514.79999999999995</v>
      </c>
    </row>
    <row r="141" spans="1:15" s="5" customFormat="1" x14ac:dyDescent="0.2">
      <c r="A141" s="6"/>
      <c r="B141" s="7"/>
      <c r="C141" s="6"/>
      <c r="D141" s="6"/>
      <c r="E141" s="6"/>
      <c r="F141" s="6"/>
      <c r="G141" s="9"/>
      <c r="H141" s="9"/>
      <c r="I141" s="2" t="s">
        <v>27</v>
      </c>
      <c r="J141" s="2" t="s">
        <v>28</v>
      </c>
      <c r="K141" s="4">
        <v>1.1000000000000001</v>
      </c>
      <c r="L141" s="4">
        <v>2</v>
      </c>
      <c r="M141" s="2">
        <v>2.2000000000000002</v>
      </c>
      <c r="N141" s="10"/>
      <c r="O141" s="6"/>
    </row>
    <row r="142" spans="1:15" s="5" customFormat="1" ht="14.45" customHeight="1" x14ac:dyDescent="0.2">
      <c r="A142" s="6">
        <v>62</v>
      </c>
      <c r="B142" s="7" t="s">
        <v>1202</v>
      </c>
      <c r="C142" s="6" t="s">
        <v>1203</v>
      </c>
      <c r="D142" s="6" t="s">
        <v>1204</v>
      </c>
      <c r="E142" s="6" t="s">
        <v>1205</v>
      </c>
      <c r="F142" s="6" t="s">
        <v>826</v>
      </c>
      <c r="G142" s="8" t="s">
        <v>23</v>
      </c>
      <c r="H142" s="8">
        <v>19</v>
      </c>
      <c r="I142" s="2" t="s">
        <v>24</v>
      </c>
      <c r="J142" s="2" t="s">
        <v>25</v>
      </c>
      <c r="K142" s="4">
        <v>0.9</v>
      </c>
      <c r="L142" s="4">
        <v>1</v>
      </c>
      <c r="M142" s="2">
        <v>0.9</v>
      </c>
      <c r="N142" s="10" t="s">
        <v>1206</v>
      </c>
      <c r="O142" s="6">
        <f>46.37*12</f>
        <v>556.43999999999994</v>
      </c>
    </row>
    <row r="143" spans="1:15" s="5" customFormat="1" x14ac:dyDescent="0.2">
      <c r="A143" s="6"/>
      <c r="B143" s="7"/>
      <c r="C143" s="6"/>
      <c r="D143" s="6"/>
      <c r="E143" s="6"/>
      <c r="F143" s="6"/>
      <c r="G143" s="9"/>
      <c r="H143" s="9"/>
      <c r="I143" s="2" t="s">
        <v>27</v>
      </c>
      <c r="J143" s="2" t="s">
        <v>28</v>
      </c>
      <c r="K143" s="4">
        <v>1.1000000000000001</v>
      </c>
      <c r="L143" s="4">
        <v>2</v>
      </c>
      <c r="M143" s="2">
        <v>2.2000000000000002</v>
      </c>
      <c r="N143" s="10"/>
      <c r="O143" s="6"/>
    </row>
    <row r="144" spans="1:15" s="5" customFormat="1" ht="14.45" customHeight="1" x14ac:dyDescent="0.2">
      <c r="A144" s="6">
        <v>63</v>
      </c>
      <c r="B144" s="7" t="s">
        <v>1207</v>
      </c>
      <c r="C144" s="6" t="s">
        <v>1208</v>
      </c>
      <c r="D144" s="6" t="s">
        <v>1209</v>
      </c>
      <c r="E144" s="6" t="s">
        <v>1210</v>
      </c>
      <c r="F144" s="6" t="s">
        <v>826</v>
      </c>
      <c r="G144" s="8" t="s">
        <v>23</v>
      </c>
      <c r="H144" s="8">
        <v>22</v>
      </c>
      <c r="I144" s="2" t="s">
        <v>24</v>
      </c>
      <c r="J144" s="2" t="s">
        <v>25</v>
      </c>
      <c r="K144" s="4">
        <v>0.9</v>
      </c>
      <c r="L144" s="4">
        <v>1</v>
      </c>
      <c r="M144" s="2">
        <v>0.9</v>
      </c>
      <c r="N144" s="10" t="s">
        <v>1211</v>
      </c>
      <c r="O144" s="6">
        <f>107.84*12</f>
        <v>1294.08</v>
      </c>
    </row>
    <row r="145" spans="1:15" s="5" customFormat="1" x14ac:dyDescent="0.2">
      <c r="A145" s="6"/>
      <c r="B145" s="7"/>
      <c r="C145" s="6"/>
      <c r="D145" s="6"/>
      <c r="E145" s="6"/>
      <c r="F145" s="6"/>
      <c r="G145" s="9"/>
      <c r="H145" s="9"/>
      <c r="I145" s="2" t="s">
        <v>27</v>
      </c>
      <c r="J145" s="2" t="s">
        <v>28</v>
      </c>
      <c r="K145" s="4">
        <v>1.1000000000000001</v>
      </c>
      <c r="L145" s="4">
        <v>3</v>
      </c>
      <c r="M145" s="2">
        <v>3.3000000000000003</v>
      </c>
      <c r="N145" s="10"/>
      <c r="O145" s="6"/>
    </row>
    <row r="146" spans="1:15" s="5" customFormat="1" ht="14.45" customHeight="1" x14ac:dyDescent="0.2">
      <c r="A146" s="6">
        <v>64</v>
      </c>
      <c r="B146" s="7" t="s">
        <v>1212</v>
      </c>
      <c r="C146" s="6" t="s">
        <v>1213</v>
      </c>
      <c r="D146" s="6" t="s">
        <v>1214</v>
      </c>
      <c r="E146" s="6" t="s">
        <v>1215</v>
      </c>
      <c r="F146" s="6" t="s">
        <v>826</v>
      </c>
      <c r="G146" s="8" t="s">
        <v>23</v>
      </c>
      <c r="H146" s="8">
        <v>13</v>
      </c>
      <c r="I146" s="2" t="s">
        <v>24</v>
      </c>
      <c r="J146" s="2" t="s">
        <v>25</v>
      </c>
      <c r="K146" s="4">
        <v>0.9</v>
      </c>
      <c r="L146" s="4">
        <v>1</v>
      </c>
      <c r="M146" s="2">
        <v>0.9</v>
      </c>
      <c r="N146" s="10" t="s">
        <v>1216</v>
      </c>
      <c r="O146" s="6">
        <f>32.85*12+1.9*12+2.6*12+0.29*12</f>
        <v>451.68000000000006</v>
      </c>
    </row>
    <row r="147" spans="1:15" s="5" customFormat="1" ht="29.25" customHeight="1" x14ac:dyDescent="0.2">
      <c r="A147" s="6"/>
      <c r="B147" s="7"/>
      <c r="C147" s="6"/>
      <c r="D147" s="6"/>
      <c r="E147" s="6"/>
      <c r="F147" s="6"/>
      <c r="G147" s="9"/>
      <c r="H147" s="9"/>
      <c r="I147" s="2" t="s">
        <v>27</v>
      </c>
      <c r="J147" s="2" t="s">
        <v>28</v>
      </c>
      <c r="K147" s="4">
        <v>1.1000000000000001</v>
      </c>
      <c r="L147" s="4">
        <v>1</v>
      </c>
      <c r="M147" s="2">
        <v>1.1000000000000001</v>
      </c>
      <c r="N147" s="10"/>
      <c r="O147" s="6"/>
    </row>
    <row r="148" spans="1:15" s="5" customFormat="1" ht="14.45" customHeight="1" x14ac:dyDescent="0.2">
      <c r="A148" s="6">
        <v>65</v>
      </c>
      <c r="B148" s="7" t="s">
        <v>1217</v>
      </c>
      <c r="C148" s="6" t="s">
        <v>1218</v>
      </c>
      <c r="D148" s="6" t="s">
        <v>1219</v>
      </c>
      <c r="E148" s="6" t="s">
        <v>1220</v>
      </c>
      <c r="F148" s="6" t="s">
        <v>826</v>
      </c>
      <c r="G148" s="8" t="s">
        <v>23</v>
      </c>
      <c r="H148" s="8">
        <v>7</v>
      </c>
      <c r="I148" s="2" t="s">
        <v>24</v>
      </c>
      <c r="J148" s="2" t="s">
        <v>25</v>
      </c>
      <c r="K148" s="4">
        <v>0.9</v>
      </c>
      <c r="L148" s="4">
        <v>1</v>
      </c>
      <c r="M148" s="2">
        <v>0.9</v>
      </c>
      <c r="N148" s="10" t="s">
        <v>1221</v>
      </c>
      <c r="O148" s="6">
        <f>42.58*12+0.79*12+0.29*12+0.07*12</f>
        <v>524.76</v>
      </c>
    </row>
    <row r="149" spans="1:15" s="5" customFormat="1" ht="18.75" customHeight="1" x14ac:dyDescent="0.2">
      <c r="A149" s="6"/>
      <c r="B149" s="7"/>
      <c r="C149" s="6"/>
      <c r="D149" s="6"/>
      <c r="E149" s="6"/>
      <c r="F149" s="6"/>
      <c r="G149" s="9"/>
      <c r="H149" s="9"/>
      <c r="I149" s="2" t="s">
        <v>27</v>
      </c>
      <c r="J149" s="2" t="s">
        <v>28</v>
      </c>
      <c r="K149" s="4">
        <v>1.1000000000000001</v>
      </c>
      <c r="L149" s="4">
        <v>2</v>
      </c>
      <c r="M149" s="2">
        <v>2.2000000000000002</v>
      </c>
      <c r="N149" s="10"/>
      <c r="O149" s="6"/>
    </row>
    <row r="150" spans="1:15" s="5" customFormat="1" ht="14.45" customHeight="1" x14ac:dyDescent="0.2">
      <c r="A150" s="6">
        <v>66</v>
      </c>
      <c r="B150" s="7" t="s">
        <v>1250</v>
      </c>
      <c r="C150" s="6" t="s">
        <v>1251</v>
      </c>
      <c r="D150" s="6" t="s">
        <v>1252</v>
      </c>
      <c r="E150" s="6" t="s">
        <v>1253</v>
      </c>
      <c r="F150" s="6" t="s">
        <v>22</v>
      </c>
      <c r="G150" s="8" t="s">
        <v>23</v>
      </c>
      <c r="H150" s="8">
        <v>15</v>
      </c>
      <c r="I150" s="2" t="s">
        <v>24</v>
      </c>
      <c r="J150" s="2" t="s">
        <v>25</v>
      </c>
      <c r="K150" s="4">
        <v>0.9</v>
      </c>
      <c r="L150" s="4">
        <v>1</v>
      </c>
      <c r="M150" s="2">
        <v>0.9</v>
      </c>
      <c r="N150" s="10" t="s">
        <v>1254</v>
      </c>
      <c r="O150" s="6">
        <f>66.88*12</f>
        <v>802.56</v>
      </c>
    </row>
    <row r="151" spans="1:15" s="5" customFormat="1" x14ac:dyDescent="0.2">
      <c r="A151" s="6"/>
      <c r="B151" s="7"/>
      <c r="C151" s="6"/>
      <c r="D151" s="6"/>
      <c r="E151" s="6"/>
      <c r="F151" s="6"/>
      <c r="G151" s="9"/>
      <c r="H151" s="9"/>
      <c r="I151" s="2" t="s">
        <v>27</v>
      </c>
      <c r="J151" s="2" t="s">
        <v>28</v>
      </c>
      <c r="K151" s="4">
        <v>1.1000000000000001</v>
      </c>
      <c r="L151" s="4">
        <v>2</v>
      </c>
      <c r="M151" s="2">
        <v>2.2000000000000002</v>
      </c>
      <c r="N151" s="10"/>
      <c r="O151" s="6"/>
    </row>
    <row r="152" spans="1:15" s="5" customFormat="1" ht="14.45" customHeight="1" x14ac:dyDescent="0.2">
      <c r="A152" s="6">
        <v>67</v>
      </c>
      <c r="B152" s="7" t="s">
        <v>60</v>
      </c>
      <c r="C152" s="6" t="s">
        <v>61</v>
      </c>
      <c r="D152" s="6" t="s">
        <v>62</v>
      </c>
      <c r="E152" s="6" t="s">
        <v>63</v>
      </c>
      <c r="F152" s="6" t="s">
        <v>22</v>
      </c>
      <c r="G152" s="8" t="s">
        <v>23</v>
      </c>
      <c r="H152" s="8">
        <v>12</v>
      </c>
      <c r="I152" s="2" t="s">
        <v>24</v>
      </c>
      <c r="J152" s="2" t="s">
        <v>25</v>
      </c>
      <c r="K152" s="4">
        <v>0.9</v>
      </c>
      <c r="L152" s="4">
        <v>1</v>
      </c>
      <c r="M152" s="2">
        <v>0.9</v>
      </c>
      <c r="N152" s="10" t="s">
        <v>64</v>
      </c>
      <c r="O152" s="6">
        <f>13.12*12</f>
        <v>157.44</v>
      </c>
    </row>
    <row r="153" spans="1:15" s="5" customFormat="1" x14ac:dyDescent="0.2">
      <c r="A153" s="6"/>
      <c r="B153" s="7"/>
      <c r="C153" s="6"/>
      <c r="D153" s="6"/>
      <c r="E153" s="6"/>
      <c r="F153" s="6"/>
      <c r="G153" s="9"/>
      <c r="H153" s="9"/>
      <c r="I153" s="2" t="s">
        <v>27</v>
      </c>
      <c r="J153" s="2" t="s">
        <v>28</v>
      </c>
      <c r="K153" s="4">
        <v>1.1000000000000001</v>
      </c>
      <c r="L153" s="4">
        <v>1</v>
      </c>
      <c r="M153" s="2">
        <v>1.1000000000000001</v>
      </c>
      <c r="N153" s="10"/>
      <c r="O153" s="6"/>
    </row>
    <row r="154" spans="1:15" s="5" customFormat="1" ht="14.45" customHeight="1" x14ac:dyDescent="0.2">
      <c r="A154" s="6">
        <v>68</v>
      </c>
      <c r="B154" s="7" t="s">
        <v>65</v>
      </c>
      <c r="C154" s="6" t="s">
        <v>66</v>
      </c>
      <c r="D154" s="6" t="s">
        <v>67</v>
      </c>
      <c r="E154" s="6" t="s">
        <v>68</v>
      </c>
      <c r="F154" s="6" t="s">
        <v>22</v>
      </c>
      <c r="G154" s="8" t="s">
        <v>23</v>
      </c>
      <c r="H154" s="8">
        <v>12</v>
      </c>
      <c r="I154" s="2" t="s">
        <v>24</v>
      </c>
      <c r="J154" s="2" t="s">
        <v>25</v>
      </c>
      <c r="K154" s="4">
        <v>0.9</v>
      </c>
      <c r="L154" s="4">
        <v>1</v>
      </c>
      <c r="M154" s="2">
        <v>0.9</v>
      </c>
      <c r="N154" s="10" t="s">
        <v>69</v>
      </c>
      <c r="O154" s="6">
        <f>16.28*12</f>
        <v>195.36</v>
      </c>
    </row>
    <row r="155" spans="1:15" s="5" customFormat="1" x14ac:dyDescent="0.2">
      <c r="A155" s="6"/>
      <c r="B155" s="7"/>
      <c r="C155" s="6"/>
      <c r="D155" s="6"/>
      <c r="E155" s="6"/>
      <c r="F155" s="6"/>
      <c r="G155" s="9"/>
      <c r="H155" s="9"/>
      <c r="I155" s="2" t="s">
        <v>27</v>
      </c>
      <c r="J155" s="2" t="s">
        <v>28</v>
      </c>
      <c r="K155" s="4">
        <v>1.1000000000000001</v>
      </c>
      <c r="L155" s="4">
        <v>1</v>
      </c>
      <c r="M155" s="2">
        <v>1.1000000000000001</v>
      </c>
      <c r="N155" s="10"/>
      <c r="O155" s="6"/>
    </row>
    <row r="156" spans="1:15" s="5" customFormat="1" ht="14.45" customHeight="1" x14ac:dyDescent="0.2">
      <c r="A156" s="6">
        <v>69</v>
      </c>
      <c r="B156" s="7" t="s">
        <v>70</v>
      </c>
      <c r="C156" s="6" t="s">
        <v>71</v>
      </c>
      <c r="D156" s="6" t="s">
        <v>72</v>
      </c>
      <c r="E156" s="6" t="s">
        <v>73</v>
      </c>
      <c r="F156" s="6" t="s">
        <v>22</v>
      </c>
      <c r="G156" s="8" t="s">
        <v>74</v>
      </c>
      <c r="H156" s="8">
        <v>9</v>
      </c>
      <c r="I156" s="2" t="s">
        <v>24</v>
      </c>
      <c r="J156" s="2" t="s">
        <v>25</v>
      </c>
      <c r="K156" s="4">
        <v>0.9</v>
      </c>
      <c r="L156" s="4">
        <v>1</v>
      </c>
      <c r="M156" s="2">
        <v>0.9</v>
      </c>
      <c r="N156" s="10" t="s">
        <v>75</v>
      </c>
      <c r="O156" s="6">
        <f>14.25*12</f>
        <v>171</v>
      </c>
    </row>
    <row r="157" spans="1:15" s="5" customFormat="1" x14ac:dyDescent="0.2">
      <c r="A157" s="6"/>
      <c r="B157" s="7"/>
      <c r="C157" s="6"/>
      <c r="D157" s="6"/>
      <c r="E157" s="6"/>
      <c r="F157" s="6"/>
      <c r="G157" s="9"/>
      <c r="H157" s="9"/>
      <c r="I157" s="2" t="s">
        <v>27</v>
      </c>
      <c r="J157" s="2" t="s">
        <v>28</v>
      </c>
      <c r="K157" s="4">
        <v>1.1000000000000001</v>
      </c>
      <c r="L157" s="4">
        <v>1</v>
      </c>
      <c r="M157" s="2">
        <v>1.1000000000000001</v>
      </c>
      <c r="N157" s="10"/>
      <c r="O157" s="6"/>
    </row>
    <row r="158" spans="1:15" s="5" customFormat="1" ht="14.45" customHeight="1" x14ac:dyDescent="0.2">
      <c r="A158" s="6">
        <v>70</v>
      </c>
      <c r="B158" s="7" t="s">
        <v>822</v>
      </c>
      <c r="C158" s="6" t="s">
        <v>823</v>
      </c>
      <c r="D158" s="6" t="s">
        <v>824</v>
      </c>
      <c r="E158" s="6" t="s">
        <v>825</v>
      </c>
      <c r="F158" s="6" t="s">
        <v>826</v>
      </c>
      <c r="G158" s="8" t="s">
        <v>23</v>
      </c>
      <c r="H158" s="8">
        <v>6</v>
      </c>
      <c r="I158" s="2" t="s">
        <v>24</v>
      </c>
      <c r="J158" s="2" t="s">
        <v>25</v>
      </c>
      <c r="K158" s="4">
        <v>0.9</v>
      </c>
      <c r="L158" s="4">
        <v>1</v>
      </c>
      <c r="M158" s="2">
        <v>0.9</v>
      </c>
      <c r="N158" s="10" t="s">
        <v>827</v>
      </c>
      <c r="O158" s="6">
        <f>24.13*12+1.51*12</f>
        <v>307.68</v>
      </c>
    </row>
    <row r="159" spans="1:15" s="5" customFormat="1" x14ac:dyDescent="0.2">
      <c r="A159" s="6"/>
      <c r="B159" s="7"/>
      <c r="C159" s="6"/>
      <c r="D159" s="6"/>
      <c r="E159" s="6"/>
      <c r="F159" s="6"/>
      <c r="G159" s="9"/>
      <c r="H159" s="9"/>
      <c r="I159" s="2" t="s">
        <v>27</v>
      </c>
      <c r="J159" s="2" t="s">
        <v>28</v>
      </c>
      <c r="K159" s="4">
        <v>1.1000000000000001</v>
      </c>
      <c r="L159" s="4">
        <v>1</v>
      </c>
      <c r="M159" s="2">
        <v>1.1000000000000001</v>
      </c>
      <c r="N159" s="10"/>
      <c r="O159" s="6"/>
    </row>
    <row r="160" spans="1:15" s="5" customFormat="1" ht="14.45" customHeight="1" x14ac:dyDescent="0.2">
      <c r="A160" s="6">
        <v>71</v>
      </c>
      <c r="B160" s="7" t="s">
        <v>828</v>
      </c>
      <c r="C160" s="6" t="s">
        <v>829</v>
      </c>
      <c r="D160" s="6" t="s">
        <v>830</v>
      </c>
      <c r="E160" s="6" t="s">
        <v>831</v>
      </c>
      <c r="F160" s="6" t="s">
        <v>826</v>
      </c>
      <c r="G160" s="8" t="s">
        <v>23</v>
      </c>
      <c r="H160" s="8">
        <v>13</v>
      </c>
      <c r="I160" s="2" t="s">
        <v>24</v>
      </c>
      <c r="J160" s="2" t="s">
        <v>25</v>
      </c>
      <c r="K160" s="4">
        <v>0.9</v>
      </c>
      <c r="L160" s="4">
        <v>1</v>
      </c>
      <c r="M160" s="2">
        <v>0.9</v>
      </c>
      <c r="N160" s="10" t="s">
        <v>832</v>
      </c>
      <c r="O160" s="6">
        <f>38.87*12+0.07*12+0.71*12+1.36*12</f>
        <v>492.11999999999989</v>
      </c>
    </row>
    <row r="161" spans="1:15" s="5" customFormat="1" ht="18.75" customHeight="1" x14ac:dyDescent="0.2">
      <c r="A161" s="6"/>
      <c r="B161" s="7"/>
      <c r="C161" s="6"/>
      <c r="D161" s="6"/>
      <c r="E161" s="6"/>
      <c r="F161" s="6"/>
      <c r="G161" s="9"/>
      <c r="H161" s="9"/>
      <c r="I161" s="2" t="s">
        <v>27</v>
      </c>
      <c r="J161" s="2" t="s">
        <v>28</v>
      </c>
      <c r="K161" s="4">
        <v>1.1000000000000001</v>
      </c>
      <c r="L161" s="4">
        <v>2</v>
      </c>
      <c r="M161" s="2">
        <v>2.2000000000000002</v>
      </c>
      <c r="N161" s="10"/>
      <c r="O161" s="6"/>
    </row>
    <row r="162" spans="1:15" s="5" customFormat="1" ht="14.45" customHeight="1" x14ac:dyDescent="0.2">
      <c r="A162" s="6">
        <v>72</v>
      </c>
      <c r="B162" s="7" t="s">
        <v>833</v>
      </c>
      <c r="C162" s="6" t="s">
        <v>834</v>
      </c>
      <c r="D162" s="6" t="s">
        <v>835</v>
      </c>
      <c r="E162" s="6" t="s">
        <v>836</v>
      </c>
      <c r="F162" s="6" t="s">
        <v>826</v>
      </c>
      <c r="G162" s="8" t="s">
        <v>23</v>
      </c>
      <c r="H162" s="8">
        <v>17</v>
      </c>
      <c r="I162" s="2" t="s">
        <v>24</v>
      </c>
      <c r="J162" s="2" t="s">
        <v>25</v>
      </c>
      <c r="K162" s="4">
        <v>0.9</v>
      </c>
      <c r="L162" s="4">
        <v>1</v>
      </c>
      <c r="M162" s="2">
        <v>0.9</v>
      </c>
      <c r="N162" s="10" t="s">
        <v>837</v>
      </c>
      <c r="O162" s="6">
        <f>63.02*12+4.75*12</f>
        <v>813.24</v>
      </c>
    </row>
    <row r="163" spans="1:15" s="5" customFormat="1" x14ac:dyDescent="0.2">
      <c r="A163" s="6"/>
      <c r="B163" s="7"/>
      <c r="C163" s="6"/>
      <c r="D163" s="6"/>
      <c r="E163" s="6"/>
      <c r="F163" s="6"/>
      <c r="G163" s="9"/>
      <c r="H163" s="9"/>
      <c r="I163" s="2" t="s">
        <v>27</v>
      </c>
      <c r="J163" s="2" t="s">
        <v>28</v>
      </c>
      <c r="K163" s="4">
        <v>1.1000000000000001</v>
      </c>
      <c r="L163" s="4">
        <v>3</v>
      </c>
      <c r="M163" s="2">
        <v>3.3000000000000003</v>
      </c>
      <c r="N163" s="10"/>
      <c r="O163" s="6"/>
    </row>
    <row r="164" spans="1:15" s="5" customFormat="1" ht="14.45" customHeight="1" x14ac:dyDescent="0.2">
      <c r="A164" s="6">
        <v>73</v>
      </c>
      <c r="B164" s="7" t="s">
        <v>838</v>
      </c>
      <c r="C164" s="6" t="s">
        <v>839</v>
      </c>
      <c r="D164" s="6" t="s">
        <v>840</v>
      </c>
      <c r="E164" s="6" t="s">
        <v>841</v>
      </c>
      <c r="F164" s="6" t="s">
        <v>826</v>
      </c>
      <c r="G164" s="8" t="s">
        <v>23</v>
      </c>
      <c r="H164" s="8">
        <v>6</v>
      </c>
      <c r="I164" s="2" t="s">
        <v>24</v>
      </c>
      <c r="J164" s="2" t="s">
        <v>25</v>
      </c>
      <c r="K164" s="4">
        <v>0.9</v>
      </c>
      <c r="L164" s="4">
        <v>1</v>
      </c>
      <c r="M164" s="2">
        <v>0.9</v>
      </c>
      <c r="N164" s="10" t="s">
        <v>842</v>
      </c>
      <c r="O164" s="6">
        <f>11.77*12+7.61*12</f>
        <v>232.56</v>
      </c>
    </row>
    <row r="165" spans="1:15" s="5" customFormat="1" x14ac:dyDescent="0.2">
      <c r="A165" s="6"/>
      <c r="B165" s="7"/>
      <c r="C165" s="6"/>
      <c r="D165" s="6"/>
      <c r="E165" s="6"/>
      <c r="F165" s="6"/>
      <c r="G165" s="9"/>
      <c r="H165" s="9"/>
      <c r="I165" s="2" t="s">
        <v>27</v>
      </c>
      <c r="J165" s="2" t="s">
        <v>28</v>
      </c>
      <c r="K165" s="4">
        <v>1.1000000000000001</v>
      </c>
      <c r="L165" s="4">
        <v>1</v>
      </c>
      <c r="M165" s="2">
        <v>1.1000000000000001</v>
      </c>
      <c r="N165" s="10"/>
      <c r="O165" s="6"/>
    </row>
    <row r="166" spans="1:15" s="5" customFormat="1" ht="25.5" x14ac:dyDescent="0.2">
      <c r="A166" s="2">
        <v>74</v>
      </c>
      <c r="B166" s="3" t="s">
        <v>621</v>
      </c>
      <c r="C166" s="2" t="s">
        <v>622</v>
      </c>
      <c r="D166" s="2" t="s">
        <v>623</v>
      </c>
      <c r="E166" s="2" t="s">
        <v>624</v>
      </c>
      <c r="F166" s="2" t="s">
        <v>22</v>
      </c>
      <c r="G166" s="2" t="s">
        <v>74</v>
      </c>
      <c r="H166" s="2">
        <v>15</v>
      </c>
      <c r="I166" s="2" t="s">
        <v>27</v>
      </c>
      <c r="J166" s="2" t="s">
        <v>28</v>
      </c>
      <c r="K166" s="4">
        <v>1.1000000000000001</v>
      </c>
      <c r="L166" s="4">
        <v>1</v>
      </c>
      <c r="M166" s="2">
        <v>1.1000000000000001</v>
      </c>
      <c r="N166" s="1" t="s">
        <v>625</v>
      </c>
      <c r="O166" s="2">
        <f>3.81*12</f>
        <v>45.72</v>
      </c>
    </row>
    <row r="167" spans="1:15" s="5" customFormat="1" ht="14.45" customHeight="1" x14ac:dyDescent="0.2">
      <c r="A167" s="6">
        <v>75</v>
      </c>
      <c r="B167" s="7" t="s">
        <v>719</v>
      </c>
      <c r="C167" s="6" t="s">
        <v>720</v>
      </c>
      <c r="D167" s="6" t="s">
        <v>721</v>
      </c>
      <c r="E167" s="6" t="s">
        <v>722</v>
      </c>
      <c r="F167" s="6" t="s">
        <v>22</v>
      </c>
      <c r="G167" s="8" t="s">
        <v>74</v>
      </c>
      <c r="H167" s="8">
        <v>30</v>
      </c>
      <c r="I167" s="2" t="s">
        <v>130</v>
      </c>
      <c r="J167" s="2" t="s">
        <v>131</v>
      </c>
      <c r="K167" s="4">
        <v>8</v>
      </c>
      <c r="L167" s="4">
        <v>0</v>
      </c>
      <c r="M167" s="2">
        <v>0</v>
      </c>
      <c r="N167" s="10" t="s">
        <v>723</v>
      </c>
      <c r="O167" s="6">
        <f>39.14*12</f>
        <v>469.68</v>
      </c>
    </row>
    <row r="168" spans="1:15" s="5" customFormat="1" x14ac:dyDescent="0.2">
      <c r="A168" s="6"/>
      <c r="B168" s="7"/>
      <c r="C168" s="6"/>
      <c r="D168" s="6"/>
      <c r="E168" s="6"/>
      <c r="F168" s="6"/>
      <c r="G168" s="20"/>
      <c r="H168" s="20"/>
      <c r="I168" s="2" t="s">
        <v>24</v>
      </c>
      <c r="J168" s="2" t="s">
        <v>25</v>
      </c>
      <c r="K168" s="4">
        <v>0.9</v>
      </c>
      <c r="L168" s="4">
        <v>1</v>
      </c>
      <c r="M168" s="2">
        <v>0.9</v>
      </c>
      <c r="N168" s="10"/>
      <c r="O168" s="6"/>
    </row>
    <row r="169" spans="1:15" s="5" customFormat="1" x14ac:dyDescent="0.2">
      <c r="A169" s="6"/>
      <c r="B169" s="7"/>
      <c r="C169" s="6"/>
      <c r="D169" s="6"/>
      <c r="E169" s="6"/>
      <c r="F169" s="6"/>
      <c r="G169" s="20"/>
      <c r="H169" s="20"/>
      <c r="I169" s="2" t="s">
        <v>27</v>
      </c>
      <c r="J169" s="2" t="s">
        <v>131</v>
      </c>
      <c r="K169" s="4">
        <v>8</v>
      </c>
      <c r="L169" s="4">
        <v>1</v>
      </c>
      <c r="M169" s="2">
        <v>8</v>
      </c>
      <c r="N169" s="10"/>
      <c r="O169" s="6"/>
    </row>
    <row r="170" spans="1:15" s="5" customFormat="1" x14ac:dyDescent="0.2">
      <c r="A170" s="6"/>
      <c r="B170" s="7"/>
      <c r="C170" s="6"/>
      <c r="D170" s="6"/>
      <c r="E170" s="6"/>
      <c r="F170" s="6"/>
      <c r="G170" s="9"/>
      <c r="H170" s="9"/>
      <c r="I170" s="2" t="s">
        <v>27</v>
      </c>
      <c r="J170" s="2" t="s">
        <v>28</v>
      </c>
      <c r="K170" s="4">
        <v>1.1000000000000001</v>
      </c>
      <c r="L170" s="4">
        <v>1</v>
      </c>
      <c r="M170" s="2">
        <v>1.1000000000000001</v>
      </c>
      <c r="N170" s="10"/>
      <c r="O170" s="6"/>
    </row>
    <row r="171" spans="1:15" s="5" customFormat="1" ht="14.45" customHeight="1" x14ac:dyDescent="0.2">
      <c r="A171" s="8">
        <v>76</v>
      </c>
      <c r="B171" s="21" t="s">
        <v>694</v>
      </c>
      <c r="C171" s="8" t="s">
        <v>695</v>
      </c>
      <c r="D171" s="8" t="s">
        <v>696</v>
      </c>
      <c r="E171" s="8" t="s">
        <v>697</v>
      </c>
      <c r="F171" s="8" t="s">
        <v>22</v>
      </c>
      <c r="G171" s="8" t="s">
        <v>23</v>
      </c>
      <c r="H171" s="8">
        <v>12</v>
      </c>
      <c r="I171" s="2" t="s">
        <v>24</v>
      </c>
      <c r="J171" s="2" t="s">
        <v>25</v>
      </c>
      <c r="K171" s="4">
        <v>0.9</v>
      </c>
      <c r="L171" s="4">
        <v>1</v>
      </c>
      <c r="M171" s="2">
        <v>0.9</v>
      </c>
      <c r="N171" s="22" t="s">
        <v>698</v>
      </c>
      <c r="O171" s="8">
        <f>13.72*12+0.07*12</f>
        <v>165.48000000000002</v>
      </c>
    </row>
    <row r="172" spans="1:15" s="5" customFormat="1" ht="30.75" customHeight="1" x14ac:dyDescent="0.2">
      <c r="A172" s="9"/>
      <c r="B172" s="23"/>
      <c r="C172" s="9"/>
      <c r="D172" s="9"/>
      <c r="E172" s="9"/>
      <c r="F172" s="9"/>
      <c r="G172" s="9"/>
      <c r="H172" s="9"/>
      <c r="I172" s="2" t="s">
        <v>27</v>
      </c>
      <c r="J172" s="2" t="s">
        <v>28</v>
      </c>
      <c r="K172" s="4">
        <v>1.1000000000000001</v>
      </c>
      <c r="L172" s="4">
        <v>1</v>
      </c>
      <c r="M172" s="2">
        <v>1.1000000000000001</v>
      </c>
      <c r="N172" s="24"/>
      <c r="O172" s="9"/>
    </row>
    <row r="173" spans="1:15" s="5" customFormat="1" ht="14.45" customHeight="1" x14ac:dyDescent="0.2">
      <c r="A173" s="6">
        <v>77</v>
      </c>
      <c r="B173" s="7" t="s">
        <v>804</v>
      </c>
      <c r="C173" s="6" t="s">
        <v>805</v>
      </c>
      <c r="D173" s="6" t="s">
        <v>806</v>
      </c>
      <c r="E173" s="6" t="s">
        <v>807</v>
      </c>
      <c r="F173" s="6" t="s">
        <v>22</v>
      </c>
      <c r="G173" s="8" t="s">
        <v>23</v>
      </c>
      <c r="H173" s="8">
        <v>12</v>
      </c>
      <c r="I173" s="2" t="s">
        <v>24</v>
      </c>
      <c r="J173" s="2" t="s">
        <v>25</v>
      </c>
      <c r="K173" s="4">
        <v>0.9</v>
      </c>
      <c r="L173" s="4">
        <v>1</v>
      </c>
      <c r="M173" s="2">
        <v>0.9</v>
      </c>
      <c r="N173" s="10" t="s">
        <v>424</v>
      </c>
      <c r="O173" s="6">
        <f>11.39*12</f>
        <v>136.68</v>
      </c>
    </row>
    <row r="174" spans="1:15" s="5" customFormat="1" x14ac:dyDescent="0.2">
      <c r="A174" s="6"/>
      <c r="B174" s="7"/>
      <c r="C174" s="6"/>
      <c r="D174" s="6"/>
      <c r="E174" s="6"/>
      <c r="F174" s="6"/>
      <c r="G174" s="9"/>
      <c r="H174" s="9"/>
      <c r="I174" s="2" t="s">
        <v>27</v>
      </c>
      <c r="J174" s="2" t="s">
        <v>28</v>
      </c>
      <c r="K174" s="4">
        <v>1.1000000000000001</v>
      </c>
      <c r="L174" s="4">
        <v>2</v>
      </c>
      <c r="M174" s="2">
        <v>2.2000000000000002</v>
      </c>
      <c r="N174" s="10"/>
      <c r="O174" s="6"/>
    </row>
    <row r="175" spans="1:15" s="5" customFormat="1" ht="14.45" customHeight="1" x14ac:dyDescent="0.2">
      <c r="A175" s="6">
        <v>78</v>
      </c>
      <c r="B175" s="7" t="s">
        <v>76</v>
      </c>
      <c r="C175" s="6" t="s">
        <v>77</v>
      </c>
      <c r="D175" s="6" t="s">
        <v>78</v>
      </c>
      <c r="E175" s="6" t="s">
        <v>79</v>
      </c>
      <c r="F175" s="6" t="s">
        <v>22</v>
      </c>
      <c r="G175" s="8" t="s">
        <v>23</v>
      </c>
      <c r="H175" s="8">
        <v>12</v>
      </c>
      <c r="I175" s="2" t="s">
        <v>24</v>
      </c>
      <c r="J175" s="2" t="s">
        <v>25</v>
      </c>
      <c r="K175" s="4">
        <v>0.9</v>
      </c>
      <c r="L175" s="4">
        <v>1</v>
      </c>
      <c r="M175" s="2">
        <v>0.9</v>
      </c>
      <c r="N175" s="10" t="s">
        <v>80</v>
      </c>
      <c r="O175" s="6">
        <f>24.54*12+0.09*12</f>
        <v>295.56</v>
      </c>
    </row>
    <row r="176" spans="1:15" s="5" customFormat="1" x14ac:dyDescent="0.2">
      <c r="A176" s="6"/>
      <c r="B176" s="7"/>
      <c r="C176" s="6"/>
      <c r="D176" s="6"/>
      <c r="E176" s="6"/>
      <c r="F176" s="6"/>
      <c r="G176" s="9"/>
      <c r="H176" s="9"/>
      <c r="I176" s="2" t="s">
        <v>27</v>
      </c>
      <c r="J176" s="2" t="s">
        <v>28</v>
      </c>
      <c r="K176" s="4">
        <v>1.1000000000000001</v>
      </c>
      <c r="L176" s="4">
        <v>2</v>
      </c>
      <c r="M176" s="2">
        <v>2.2000000000000002</v>
      </c>
      <c r="N176" s="10"/>
      <c r="O176" s="6"/>
    </row>
    <row r="177" spans="1:15" s="5" customFormat="1" ht="14.45" customHeight="1" x14ac:dyDescent="0.2">
      <c r="A177" s="6">
        <v>79</v>
      </c>
      <c r="B177" s="7" t="s">
        <v>81</v>
      </c>
      <c r="C177" s="6" t="s">
        <v>82</v>
      </c>
      <c r="D177" s="6" t="s">
        <v>83</v>
      </c>
      <c r="E177" s="6" t="s">
        <v>84</v>
      </c>
      <c r="F177" s="6" t="s">
        <v>22</v>
      </c>
      <c r="G177" s="8" t="s">
        <v>23</v>
      </c>
      <c r="H177" s="8">
        <v>12</v>
      </c>
      <c r="I177" s="2" t="s">
        <v>24</v>
      </c>
      <c r="J177" s="2" t="s">
        <v>25</v>
      </c>
      <c r="K177" s="4">
        <v>0.9</v>
      </c>
      <c r="L177" s="4">
        <v>1</v>
      </c>
      <c r="M177" s="2">
        <v>0.9</v>
      </c>
      <c r="N177" s="10" t="s">
        <v>85</v>
      </c>
      <c r="O177" s="6">
        <f>24.99*12+0.46*12</f>
        <v>305.39999999999998</v>
      </c>
    </row>
    <row r="178" spans="1:15" s="5" customFormat="1" x14ac:dyDescent="0.2">
      <c r="A178" s="6"/>
      <c r="B178" s="7"/>
      <c r="C178" s="6"/>
      <c r="D178" s="6"/>
      <c r="E178" s="6"/>
      <c r="F178" s="6"/>
      <c r="G178" s="9"/>
      <c r="H178" s="9"/>
      <c r="I178" s="2" t="s">
        <v>27</v>
      </c>
      <c r="J178" s="2" t="s">
        <v>28</v>
      </c>
      <c r="K178" s="4">
        <v>1.1000000000000001</v>
      </c>
      <c r="L178" s="4">
        <v>2</v>
      </c>
      <c r="M178" s="2">
        <v>2.2000000000000002</v>
      </c>
      <c r="N178" s="10"/>
      <c r="O178" s="6"/>
    </row>
    <row r="179" spans="1:15" s="5" customFormat="1" ht="14.45" customHeight="1" x14ac:dyDescent="0.2">
      <c r="A179" s="6">
        <v>80</v>
      </c>
      <c r="B179" s="7" t="s">
        <v>86</v>
      </c>
      <c r="C179" s="6" t="s">
        <v>87</v>
      </c>
      <c r="D179" s="6" t="s">
        <v>88</v>
      </c>
      <c r="E179" s="6" t="s">
        <v>89</v>
      </c>
      <c r="F179" s="6" t="s">
        <v>22</v>
      </c>
      <c r="G179" s="8" t="s">
        <v>23</v>
      </c>
      <c r="H179" s="8">
        <v>12</v>
      </c>
      <c r="I179" s="2" t="s">
        <v>24</v>
      </c>
      <c r="J179" s="2" t="s">
        <v>25</v>
      </c>
      <c r="K179" s="4">
        <v>0.9</v>
      </c>
      <c r="L179" s="4">
        <v>1</v>
      </c>
      <c r="M179" s="2">
        <v>0.9</v>
      </c>
      <c r="N179" s="10" t="s">
        <v>90</v>
      </c>
      <c r="O179" s="6">
        <f>23.58*12</f>
        <v>282.95999999999998</v>
      </c>
    </row>
    <row r="180" spans="1:15" s="5" customFormat="1" x14ac:dyDescent="0.2">
      <c r="A180" s="6"/>
      <c r="B180" s="7"/>
      <c r="C180" s="6"/>
      <c r="D180" s="6"/>
      <c r="E180" s="6"/>
      <c r="F180" s="6"/>
      <c r="G180" s="9"/>
      <c r="H180" s="9"/>
      <c r="I180" s="2" t="s">
        <v>27</v>
      </c>
      <c r="J180" s="2" t="s">
        <v>28</v>
      </c>
      <c r="K180" s="4">
        <v>1.1000000000000001</v>
      </c>
      <c r="L180" s="4">
        <v>2</v>
      </c>
      <c r="M180" s="2">
        <v>2.2000000000000002</v>
      </c>
      <c r="N180" s="10"/>
      <c r="O180" s="6"/>
    </row>
    <row r="181" spans="1:15" s="5" customFormat="1" ht="14.45" customHeight="1" x14ac:dyDescent="0.2">
      <c r="A181" s="6">
        <v>81</v>
      </c>
      <c r="B181" s="7" t="s">
        <v>91</v>
      </c>
      <c r="C181" s="6" t="s">
        <v>92</v>
      </c>
      <c r="D181" s="6" t="s">
        <v>93</v>
      </c>
      <c r="E181" s="6" t="s">
        <v>94</v>
      </c>
      <c r="F181" s="6" t="s">
        <v>22</v>
      </c>
      <c r="G181" s="8" t="s">
        <v>74</v>
      </c>
      <c r="H181" s="8">
        <v>15</v>
      </c>
      <c r="I181" s="2" t="s">
        <v>24</v>
      </c>
      <c r="J181" s="2" t="s">
        <v>25</v>
      </c>
      <c r="K181" s="4">
        <v>0.9</v>
      </c>
      <c r="L181" s="4">
        <v>1</v>
      </c>
      <c r="M181" s="2">
        <v>0.9</v>
      </c>
      <c r="N181" s="10" t="s">
        <v>95</v>
      </c>
      <c r="O181" s="6">
        <f>19.5*12+1.58*12</f>
        <v>252.96</v>
      </c>
    </row>
    <row r="182" spans="1:15" s="5" customFormat="1" x14ac:dyDescent="0.2">
      <c r="A182" s="6"/>
      <c r="B182" s="7"/>
      <c r="C182" s="6"/>
      <c r="D182" s="6"/>
      <c r="E182" s="6"/>
      <c r="F182" s="6"/>
      <c r="G182" s="9"/>
      <c r="H182" s="9"/>
      <c r="I182" s="2" t="s">
        <v>27</v>
      </c>
      <c r="J182" s="2" t="s">
        <v>28</v>
      </c>
      <c r="K182" s="4">
        <v>1.1000000000000001</v>
      </c>
      <c r="L182" s="4">
        <v>1</v>
      </c>
      <c r="M182" s="2">
        <v>1.1000000000000001</v>
      </c>
      <c r="N182" s="10"/>
      <c r="O182" s="6"/>
    </row>
    <row r="183" spans="1:15" s="5" customFormat="1" ht="14.45" customHeight="1" x14ac:dyDescent="0.2">
      <c r="A183" s="6">
        <v>82</v>
      </c>
      <c r="B183" s="7" t="s">
        <v>843</v>
      </c>
      <c r="C183" s="6" t="s">
        <v>844</v>
      </c>
      <c r="D183" s="6" t="s">
        <v>845</v>
      </c>
      <c r="E183" s="6" t="s">
        <v>846</v>
      </c>
      <c r="F183" s="6" t="s">
        <v>826</v>
      </c>
      <c r="G183" s="8" t="s">
        <v>23</v>
      </c>
      <c r="H183" s="8">
        <v>8</v>
      </c>
      <c r="I183" s="2" t="s">
        <v>24</v>
      </c>
      <c r="J183" s="2" t="s">
        <v>25</v>
      </c>
      <c r="K183" s="4">
        <v>0.9</v>
      </c>
      <c r="L183" s="4">
        <v>1</v>
      </c>
      <c r="M183" s="2">
        <v>0.9</v>
      </c>
      <c r="N183" s="10" t="s">
        <v>847</v>
      </c>
      <c r="O183" s="6">
        <f>28.98*12</f>
        <v>347.76</v>
      </c>
    </row>
    <row r="184" spans="1:15" s="5" customFormat="1" x14ac:dyDescent="0.2">
      <c r="A184" s="6"/>
      <c r="B184" s="7"/>
      <c r="C184" s="6"/>
      <c r="D184" s="6"/>
      <c r="E184" s="6"/>
      <c r="F184" s="6"/>
      <c r="G184" s="9"/>
      <c r="H184" s="9"/>
      <c r="I184" s="2" t="s">
        <v>27</v>
      </c>
      <c r="J184" s="2" t="s">
        <v>28</v>
      </c>
      <c r="K184" s="4">
        <v>1.1000000000000001</v>
      </c>
      <c r="L184" s="4">
        <v>2</v>
      </c>
      <c r="M184" s="2">
        <v>2.2000000000000002</v>
      </c>
      <c r="N184" s="10"/>
      <c r="O184" s="6"/>
    </row>
    <row r="185" spans="1:15" s="5" customFormat="1" ht="14.45" customHeight="1" x14ac:dyDescent="0.2">
      <c r="A185" s="6">
        <v>83</v>
      </c>
      <c r="B185" s="7" t="s">
        <v>848</v>
      </c>
      <c r="C185" s="6" t="s">
        <v>849</v>
      </c>
      <c r="D185" s="6" t="s">
        <v>850</v>
      </c>
      <c r="E185" s="6" t="s">
        <v>851</v>
      </c>
      <c r="F185" s="6" t="s">
        <v>826</v>
      </c>
      <c r="G185" s="8" t="s">
        <v>23</v>
      </c>
      <c r="H185" s="8">
        <v>8</v>
      </c>
      <c r="I185" s="2" t="s">
        <v>24</v>
      </c>
      <c r="J185" s="2" t="s">
        <v>25</v>
      </c>
      <c r="K185" s="4">
        <v>0.9</v>
      </c>
      <c r="L185" s="4">
        <v>1</v>
      </c>
      <c r="M185" s="2">
        <v>0.9</v>
      </c>
      <c r="N185" s="10" t="s">
        <v>852</v>
      </c>
      <c r="O185" s="6">
        <f>28.56*12</f>
        <v>342.71999999999997</v>
      </c>
    </row>
    <row r="186" spans="1:15" s="5" customFormat="1" x14ac:dyDescent="0.2">
      <c r="A186" s="6"/>
      <c r="B186" s="7"/>
      <c r="C186" s="6"/>
      <c r="D186" s="6"/>
      <c r="E186" s="6"/>
      <c r="F186" s="6"/>
      <c r="G186" s="9"/>
      <c r="H186" s="9"/>
      <c r="I186" s="2" t="s">
        <v>27</v>
      </c>
      <c r="J186" s="2" t="s">
        <v>28</v>
      </c>
      <c r="K186" s="4">
        <v>1.1000000000000001</v>
      </c>
      <c r="L186" s="4">
        <v>2</v>
      </c>
      <c r="M186" s="2">
        <v>2.2000000000000002</v>
      </c>
      <c r="N186" s="10"/>
      <c r="O186" s="6"/>
    </row>
    <row r="187" spans="1:15" s="5" customFormat="1" ht="14.45" customHeight="1" x14ac:dyDescent="0.2">
      <c r="A187" s="6">
        <v>84</v>
      </c>
      <c r="B187" s="7" t="s">
        <v>853</v>
      </c>
      <c r="C187" s="6" t="s">
        <v>854</v>
      </c>
      <c r="D187" s="6" t="s">
        <v>855</v>
      </c>
      <c r="E187" s="6" t="s">
        <v>856</v>
      </c>
      <c r="F187" s="6" t="s">
        <v>826</v>
      </c>
      <c r="G187" s="8" t="s">
        <v>23</v>
      </c>
      <c r="H187" s="8">
        <v>8</v>
      </c>
      <c r="I187" s="2" t="s">
        <v>24</v>
      </c>
      <c r="J187" s="2" t="s">
        <v>25</v>
      </c>
      <c r="K187" s="4">
        <v>0.9</v>
      </c>
      <c r="L187" s="4">
        <v>2</v>
      </c>
      <c r="M187" s="2">
        <v>1.8</v>
      </c>
      <c r="N187" s="10" t="s">
        <v>857</v>
      </c>
      <c r="O187" s="6">
        <f>31.39*12+1.9*12</f>
        <v>399.48</v>
      </c>
    </row>
    <row r="188" spans="1:15" s="5" customFormat="1" x14ac:dyDescent="0.2">
      <c r="A188" s="6"/>
      <c r="B188" s="7"/>
      <c r="C188" s="6"/>
      <c r="D188" s="6"/>
      <c r="E188" s="6"/>
      <c r="F188" s="6"/>
      <c r="G188" s="9"/>
      <c r="H188" s="9"/>
      <c r="I188" s="2" t="s">
        <v>27</v>
      </c>
      <c r="J188" s="2" t="s">
        <v>28</v>
      </c>
      <c r="K188" s="4">
        <v>1.1000000000000001</v>
      </c>
      <c r="L188" s="4">
        <v>2</v>
      </c>
      <c r="M188" s="2">
        <v>2.2000000000000002</v>
      </c>
      <c r="N188" s="10"/>
      <c r="O188" s="6"/>
    </row>
    <row r="189" spans="1:15" s="5" customFormat="1" ht="14.45" customHeight="1" x14ac:dyDescent="0.2">
      <c r="A189" s="6">
        <v>85</v>
      </c>
      <c r="B189" s="7" t="s">
        <v>858</v>
      </c>
      <c r="C189" s="6" t="s">
        <v>859</v>
      </c>
      <c r="D189" s="6" t="s">
        <v>860</v>
      </c>
      <c r="E189" s="6" t="s">
        <v>861</v>
      </c>
      <c r="F189" s="6" t="s">
        <v>826</v>
      </c>
      <c r="G189" s="8" t="s">
        <v>23</v>
      </c>
      <c r="H189" s="8">
        <v>8</v>
      </c>
      <c r="I189" s="2" t="s">
        <v>24</v>
      </c>
      <c r="J189" s="2" t="s">
        <v>25</v>
      </c>
      <c r="K189" s="4">
        <v>0.9</v>
      </c>
      <c r="L189" s="4">
        <v>1</v>
      </c>
      <c r="M189" s="2">
        <v>0.9</v>
      </c>
      <c r="N189" s="10" t="s">
        <v>862</v>
      </c>
      <c r="O189" s="6">
        <f>29.24*12+0.43*12</f>
        <v>356.04</v>
      </c>
    </row>
    <row r="190" spans="1:15" s="5" customFormat="1" ht="15" customHeight="1" x14ac:dyDescent="0.2">
      <c r="A190" s="6"/>
      <c r="B190" s="7"/>
      <c r="C190" s="6"/>
      <c r="D190" s="6"/>
      <c r="E190" s="6"/>
      <c r="F190" s="6"/>
      <c r="G190" s="9"/>
      <c r="H190" s="9"/>
      <c r="I190" s="2" t="s">
        <v>27</v>
      </c>
      <c r="J190" s="2" t="s">
        <v>28</v>
      </c>
      <c r="K190" s="4">
        <v>1.1000000000000001</v>
      </c>
      <c r="L190" s="4">
        <v>2</v>
      </c>
      <c r="M190" s="2">
        <v>2.2000000000000002</v>
      </c>
      <c r="N190" s="10"/>
      <c r="O190" s="6"/>
    </row>
    <row r="191" spans="1:15" s="5" customFormat="1" ht="14.45" customHeight="1" x14ac:dyDescent="0.2">
      <c r="A191" s="6">
        <v>86</v>
      </c>
      <c r="B191" s="7" t="s">
        <v>96</v>
      </c>
      <c r="C191" s="6" t="s">
        <v>97</v>
      </c>
      <c r="D191" s="6" t="s">
        <v>98</v>
      </c>
      <c r="E191" s="6" t="s">
        <v>99</v>
      </c>
      <c r="F191" s="6" t="s">
        <v>22</v>
      </c>
      <c r="G191" s="8" t="s">
        <v>23</v>
      </c>
      <c r="H191" s="8">
        <v>12</v>
      </c>
      <c r="I191" s="2" t="s">
        <v>24</v>
      </c>
      <c r="J191" s="2" t="s">
        <v>25</v>
      </c>
      <c r="K191" s="4">
        <v>0.9</v>
      </c>
      <c r="L191" s="4">
        <v>1</v>
      </c>
      <c r="M191" s="2">
        <v>0.9</v>
      </c>
      <c r="N191" s="10" t="s">
        <v>100</v>
      </c>
      <c r="O191" s="6">
        <f>20.74*12</f>
        <v>248.88</v>
      </c>
    </row>
    <row r="192" spans="1:15" s="5" customFormat="1" x14ac:dyDescent="0.2">
      <c r="A192" s="6"/>
      <c r="B192" s="7"/>
      <c r="C192" s="6"/>
      <c r="D192" s="6"/>
      <c r="E192" s="6"/>
      <c r="F192" s="6"/>
      <c r="G192" s="9"/>
      <c r="H192" s="9"/>
      <c r="I192" s="2" t="s">
        <v>27</v>
      </c>
      <c r="J192" s="2" t="s">
        <v>28</v>
      </c>
      <c r="K192" s="4">
        <v>1.1000000000000001</v>
      </c>
      <c r="L192" s="4">
        <v>2</v>
      </c>
      <c r="M192" s="2">
        <v>2.2000000000000002</v>
      </c>
      <c r="N192" s="10"/>
      <c r="O192" s="6"/>
    </row>
    <row r="193" spans="1:15" s="5" customFormat="1" ht="14.45" customHeight="1" x14ac:dyDescent="0.2">
      <c r="A193" s="6">
        <v>87</v>
      </c>
      <c r="B193" s="7" t="s">
        <v>101</v>
      </c>
      <c r="C193" s="6" t="s">
        <v>102</v>
      </c>
      <c r="D193" s="6" t="s">
        <v>103</v>
      </c>
      <c r="E193" s="6" t="s">
        <v>104</v>
      </c>
      <c r="F193" s="6" t="s">
        <v>22</v>
      </c>
      <c r="G193" s="8" t="s">
        <v>23</v>
      </c>
      <c r="H193" s="8">
        <v>12</v>
      </c>
      <c r="I193" s="2" t="s">
        <v>24</v>
      </c>
      <c r="J193" s="2" t="s">
        <v>25</v>
      </c>
      <c r="K193" s="4">
        <v>0.9</v>
      </c>
      <c r="L193" s="4">
        <v>1</v>
      </c>
      <c r="M193" s="2">
        <v>0.9</v>
      </c>
      <c r="N193" s="10" t="s">
        <v>105</v>
      </c>
      <c r="O193" s="6">
        <f>22.44*12+0.07*12</f>
        <v>270.12</v>
      </c>
    </row>
    <row r="194" spans="1:15" s="5" customFormat="1" ht="30" customHeight="1" x14ac:dyDescent="0.2">
      <c r="A194" s="6"/>
      <c r="B194" s="7"/>
      <c r="C194" s="6"/>
      <c r="D194" s="6"/>
      <c r="E194" s="6"/>
      <c r="F194" s="6"/>
      <c r="G194" s="9"/>
      <c r="H194" s="9"/>
      <c r="I194" s="2" t="s">
        <v>27</v>
      </c>
      <c r="J194" s="2" t="s">
        <v>28</v>
      </c>
      <c r="K194" s="4">
        <v>1.1000000000000001</v>
      </c>
      <c r="L194" s="4">
        <v>2</v>
      </c>
      <c r="M194" s="2">
        <v>2.2000000000000002</v>
      </c>
      <c r="N194" s="10"/>
      <c r="O194" s="6"/>
    </row>
    <row r="195" spans="1:15" s="5" customFormat="1" ht="14.45" customHeight="1" x14ac:dyDescent="0.2">
      <c r="A195" s="6">
        <v>88</v>
      </c>
      <c r="B195" s="7" t="s">
        <v>106</v>
      </c>
      <c r="C195" s="6" t="s">
        <v>107</v>
      </c>
      <c r="D195" s="6" t="s">
        <v>108</v>
      </c>
      <c r="E195" s="6" t="s">
        <v>109</v>
      </c>
      <c r="F195" s="6" t="s">
        <v>22</v>
      </c>
      <c r="G195" s="8" t="s">
        <v>23</v>
      </c>
      <c r="H195" s="8">
        <v>12</v>
      </c>
      <c r="I195" s="2" t="s">
        <v>24</v>
      </c>
      <c r="J195" s="2" t="s">
        <v>25</v>
      </c>
      <c r="K195" s="4">
        <v>0.9</v>
      </c>
      <c r="L195" s="4">
        <v>1</v>
      </c>
      <c r="M195" s="2">
        <v>0.9</v>
      </c>
      <c r="N195" s="10" t="s">
        <v>110</v>
      </c>
      <c r="O195" s="6">
        <f>13.99*12</f>
        <v>167.88</v>
      </c>
    </row>
    <row r="196" spans="1:15" s="5" customFormat="1" x14ac:dyDescent="0.2">
      <c r="A196" s="6"/>
      <c r="B196" s="7"/>
      <c r="C196" s="6"/>
      <c r="D196" s="6"/>
      <c r="E196" s="6"/>
      <c r="F196" s="6"/>
      <c r="G196" s="9"/>
      <c r="H196" s="9"/>
      <c r="I196" s="2" t="s">
        <v>27</v>
      </c>
      <c r="J196" s="2" t="s">
        <v>28</v>
      </c>
      <c r="K196" s="4">
        <v>1.1000000000000001</v>
      </c>
      <c r="L196" s="4">
        <v>1</v>
      </c>
      <c r="M196" s="2">
        <v>1.1000000000000001</v>
      </c>
      <c r="N196" s="10"/>
      <c r="O196" s="6"/>
    </row>
    <row r="197" spans="1:15" s="5" customFormat="1" ht="25.5" x14ac:dyDescent="0.2">
      <c r="A197" s="2">
        <v>89</v>
      </c>
      <c r="B197" s="3" t="s">
        <v>111</v>
      </c>
      <c r="C197" s="2" t="s">
        <v>112</v>
      </c>
      <c r="D197" s="2" t="s">
        <v>113</v>
      </c>
      <c r="E197" s="2" t="s">
        <v>114</v>
      </c>
      <c r="F197" s="2" t="s">
        <v>22</v>
      </c>
      <c r="G197" s="2" t="s">
        <v>74</v>
      </c>
      <c r="H197" s="2">
        <v>15</v>
      </c>
      <c r="I197" s="2" t="s">
        <v>27</v>
      </c>
      <c r="J197" s="2" t="s">
        <v>28</v>
      </c>
      <c r="K197" s="4">
        <v>1.1000000000000001</v>
      </c>
      <c r="L197" s="4">
        <v>1</v>
      </c>
      <c r="M197" s="2">
        <v>1.1000000000000001</v>
      </c>
      <c r="N197" s="1" t="s">
        <v>115</v>
      </c>
      <c r="O197" s="2">
        <f>9.49*12</f>
        <v>113.88</v>
      </c>
    </row>
    <row r="198" spans="1:15" s="5" customFormat="1" ht="25.5" x14ac:dyDescent="0.2">
      <c r="A198" s="2">
        <v>90</v>
      </c>
      <c r="B198" s="3" t="s">
        <v>1002</v>
      </c>
      <c r="C198" s="2" t="s">
        <v>1003</v>
      </c>
      <c r="D198" s="2" t="s">
        <v>1004</v>
      </c>
      <c r="E198" s="2" t="s">
        <v>1005</v>
      </c>
      <c r="F198" s="2" t="s">
        <v>22</v>
      </c>
      <c r="G198" s="2" t="s">
        <v>74</v>
      </c>
      <c r="H198" s="2">
        <v>12</v>
      </c>
      <c r="I198" s="2" t="s">
        <v>27</v>
      </c>
      <c r="J198" s="2" t="s">
        <v>28</v>
      </c>
      <c r="K198" s="4">
        <v>1.1000000000000001</v>
      </c>
      <c r="L198" s="4">
        <v>1</v>
      </c>
      <c r="M198" s="2">
        <v>1.1000000000000001</v>
      </c>
      <c r="N198" s="1" t="s">
        <v>110</v>
      </c>
      <c r="O198" s="2">
        <f>13.99*12</f>
        <v>167.88</v>
      </c>
    </row>
    <row r="199" spans="1:15" s="5" customFormat="1" ht="14.45" customHeight="1" x14ac:dyDescent="0.2">
      <c r="A199" s="6">
        <v>91</v>
      </c>
      <c r="B199" s="7" t="s">
        <v>116</v>
      </c>
      <c r="C199" s="6" t="s">
        <v>117</v>
      </c>
      <c r="D199" s="6" t="s">
        <v>118</v>
      </c>
      <c r="E199" s="6" t="s">
        <v>119</v>
      </c>
      <c r="F199" s="6" t="s">
        <v>22</v>
      </c>
      <c r="G199" s="8" t="s">
        <v>23</v>
      </c>
      <c r="H199" s="8">
        <v>12</v>
      </c>
      <c r="I199" s="2" t="s">
        <v>24</v>
      </c>
      <c r="J199" s="2" t="s">
        <v>25</v>
      </c>
      <c r="K199" s="4">
        <v>0.9</v>
      </c>
      <c r="L199" s="4">
        <v>1</v>
      </c>
      <c r="M199" s="2">
        <v>0.9</v>
      </c>
      <c r="N199" s="10" t="s">
        <v>120</v>
      </c>
      <c r="O199" s="6">
        <f>21.29*12+0.52*12</f>
        <v>261.71999999999997</v>
      </c>
    </row>
    <row r="200" spans="1:15" s="5" customFormat="1" x14ac:dyDescent="0.2">
      <c r="A200" s="6"/>
      <c r="B200" s="7"/>
      <c r="C200" s="6"/>
      <c r="D200" s="6"/>
      <c r="E200" s="6"/>
      <c r="F200" s="6"/>
      <c r="G200" s="9"/>
      <c r="H200" s="9"/>
      <c r="I200" s="2" t="s">
        <v>27</v>
      </c>
      <c r="J200" s="2" t="s">
        <v>28</v>
      </c>
      <c r="K200" s="4">
        <v>1.1000000000000001</v>
      </c>
      <c r="L200" s="4">
        <v>1</v>
      </c>
      <c r="M200" s="2">
        <v>1.1000000000000001</v>
      </c>
      <c r="N200" s="10"/>
      <c r="O200" s="6"/>
    </row>
    <row r="201" spans="1:15" s="5" customFormat="1" ht="14.45" customHeight="1" x14ac:dyDescent="0.2">
      <c r="A201" s="6">
        <v>92</v>
      </c>
      <c r="B201" s="7" t="s">
        <v>121</v>
      </c>
      <c r="C201" s="6" t="s">
        <v>122</v>
      </c>
      <c r="D201" s="6" t="s">
        <v>123</v>
      </c>
      <c r="E201" s="6" t="s">
        <v>124</v>
      </c>
      <c r="F201" s="6" t="s">
        <v>22</v>
      </c>
      <c r="G201" s="8" t="s">
        <v>23</v>
      </c>
      <c r="H201" s="8">
        <v>12</v>
      </c>
      <c r="I201" s="2" t="s">
        <v>24</v>
      </c>
      <c r="J201" s="2" t="s">
        <v>25</v>
      </c>
      <c r="K201" s="4">
        <v>0.9</v>
      </c>
      <c r="L201" s="4">
        <v>1</v>
      </c>
      <c r="M201" s="2">
        <v>0.9</v>
      </c>
      <c r="N201" s="10" t="s">
        <v>125</v>
      </c>
      <c r="O201" s="6">
        <f>21.38*12</f>
        <v>256.56</v>
      </c>
    </row>
    <row r="202" spans="1:15" s="5" customFormat="1" x14ac:dyDescent="0.2">
      <c r="A202" s="6"/>
      <c r="B202" s="7"/>
      <c r="C202" s="6"/>
      <c r="D202" s="6"/>
      <c r="E202" s="6"/>
      <c r="F202" s="6"/>
      <c r="G202" s="9"/>
      <c r="H202" s="9"/>
      <c r="I202" s="2" t="s">
        <v>27</v>
      </c>
      <c r="J202" s="2" t="s">
        <v>28</v>
      </c>
      <c r="K202" s="4">
        <v>1.1000000000000001</v>
      </c>
      <c r="L202" s="4">
        <v>2</v>
      </c>
      <c r="M202" s="2">
        <v>2.2000000000000002</v>
      </c>
      <c r="N202" s="10"/>
      <c r="O202" s="6"/>
    </row>
    <row r="203" spans="1:15" s="5" customFormat="1" ht="14.45" customHeight="1" x14ac:dyDescent="0.2">
      <c r="A203" s="6">
        <v>93</v>
      </c>
      <c r="B203" s="7" t="s">
        <v>126</v>
      </c>
      <c r="C203" s="6" t="s">
        <v>127</v>
      </c>
      <c r="D203" s="6" t="s">
        <v>128</v>
      </c>
      <c r="E203" s="6" t="s">
        <v>129</v>
      </c>
      <c r="F203" s="6" t="s">
        <v>22</v>
      </c>
      <c r="G203" s="8" t="s">
        <v>23</v>
      </c>
      <c r="H203" s="8">
        <v>30</v>
      </c>
      <c r="I203" s="2" t="s">
        <v>130</v>
      </c>
      <c r="J203" s="2" t="s">
        <v>131</v>
      </c>
      <c r="K203" s="4">
        <v>8</v>
      </c>
      <c r="L203" s="4">
        <v>1</v>
      </c>
      <c r="M203" s="2">
        <v>8</v>
      </c>
      <c r="N203" s="10" t="s">
        <v>132</v>
      </c>
      <c r="O203" s="6">
        <f>56.1*12</f>
        <v>673.2</v>
      </c>
    </row>
    <row r="204" spans="1:15" s="5" customFormat="1" x14ac:dyDescent="0.2">
      <c r="A204" s="6"/>
      <c r="B204" s="7"/>
      <c r="C204" s="6"/>
      <c r="D204" s="6"/>
      <c r="E204" s="6"/>
      <c r="F204" s="6"/>
      <c r="G204" s="20"/>
      <c r="H204" s="20"/>
      <c r="I204" s="2" t="s">
        <v>24</v>
      </c>
      <c r="J204" s="2" t="s">
        <v>25</v>
      </c>
      <c r="K204" s="4">
        <v>0.9</v>
      </c>
      <c r="L204" s="4">
        <v>1</v>
      </c>
      <c r="M204" s="2">
        <v>0.9</v>
      </c>
      <c r="N204" s="10"/>
      <c r="O204" s="6"/>
    </row>
    <row r="205" spans="1:15" s="5" customFormat="1" x14ac:dyDescent="0.2">
      <c r="A205" s="6"/>
      <c r="B205" s="7"/>
      <c r="C205" s="6"/>
      <c r="D205" s="6"/>
      <c r="E205" s="6"/>
      <c r="F205" s="6"/>
      <c r="G205" s="9"/>
      <c r="H205" s="9"/>
      <c r="I205" s="2" t="s">
        <v>27</v>
      </c>
      <c r="J205" s="2" t="s">
        <v>28</v>
      </c>
      <c r="K205" s="4">
        <v>1.1000000000000001</v>
      </c>
      <c r="L205" s="4">
        <v>3</v>
      </c>
      <c r="M205" s="2">
        <v>3.3000000000000003</v>
      </c>
      <c r="N205" s="10"/>
      <c r="O205" s="6"/>
    </row>
    <row r="206" spans="1:15" s="5" customFormat="1" ht="14.45" customHeight="1" x14ac:dyDescent="0.2">
      <c r="A206" s="6">
        <v>94</v>
      </c>
      <c r="B206" s="7" t="s">
        <v>133</v>
      </c>
      <c r="C206" s="6" t="s">
        <v>134</v>
      </c>
      <c r="D206" s="6" t="s">
        <v>135</v>
      </c>
      <c r="E206" s="6" t="s">
        <v>136</v>
      </c>
      <c r="F206" s="6" t="s">
        <v>22</v>
      </c>
      <c r="G206" s="8" t="s">
        <v>23</v>
      </c>
      <c r="H206" s="8">
        <v>12</v>
      </c>
      <c r="I206" s="2" t="s">
        <v>24</v>
      </c>
      <c r="J206" s="2" t="s">
        <v>24</v>
      </c>
      <c r="K206" s="4">
        <v>1.1000000000000001</v>
      </c>
      <c r="L206" s="4">
        <v>1</v>
      </c>
      <c r="M206" s="2">
        <v>1.1000000000000001</v>
      </c>
      <c r="N206" s="10" t="s">
        <v>137</v>
      </c>
      <c r="O206" s="6">
        <f>23.43*12</f>
        <v>281.15999999999997</v>
      </c>
    </row>
    <row r="207" spans="1:15" s="5" customFormat="1" x14ac:dyDescent="0.2">
      <c r="A207" s="6"/>
      <c r="B207" s="7"/>
      <c r="C207" s="6"/>
      <c r="D207" s="6"/>
      <c r="E207" s="6"/>
      <c r="F207" s="6"/>
      <c r="G207" s="20"/>
      <c r="H207" s="20"/>
      <c r="I207" s="2" t="s">
        <v>24</v>
      </c>
      <c r="J207" s="2" t="s">
        <v>25</v>
      </c>
      <c r="K207" s="4">
        <v>0.9</v>
      </c>
      <c r="L207" s="4">
        <v>1</v>
      </c>
      <c r="M207" s="2">
        <v>0.9</v>
      </c>
      <c r="N207" s="10"/>
      <c r="O207" s="6"/>
    </row>
    <row r="208" spans="1:15" s="5" customFormat="1" x14ac:dyDescent="0.2">
      <c r="A208" s="6"/>
      <c r="B208" s="7"/>
      <c r="C208" s="6"/>
      <c r="D208" s="6"/>
      <c r="E208" s="6"/>
      <c r="F208" s="6"/>
      <c r="G208" s="9"/>
      <c r="H208" s="9"/>
      <c r="I208" s="2" t="s">
        <v>27</v>
      </c>
      <c r="J208" s="2" t="s">
        <v>28</v>
      </c>
      <c r="K208" s="4">
        <v>1.1000000000000001</v>
      </c>
      <c r="L208" s="4">
        <v>2</v>
      </c>
      <c r="M208" s="2">
        <v>2.2000000000000002</v>
      </c>
      <c r="N208" s="10"/>
      <c r="O208" s="6"/>
    </row>
    <row r="209" spans="1:15" s="5" customFormat="1" ht="14.45" customHeight="1" x14ac:dyDescent="0.2">
      <c r="A209" s="6">
        <v>95</v>
      </c>
      <c r="B209" s="7" t="s">
        <v>138</v>
      </c>
      <c r="C209" s="6" t="s">
        <v>139</v>
      </c>
      <c r="D209" s="6" t="s">
        <v>140</v>
      </c>
      <c r="E209" s="6" t="s">
        <v>141</v>
      </c>
      <c r="F209" s="6" t="s">
        <v>22</v>
      </c>
      <c r="G209" s="8" t="s">
        <v>23</v>
      </c>
      <c r="H209" s="8">
        <v>27</v>
      </c>
      <c r="I209" s="2" t="s">
        <v>130</v>
      </c>
      <c r="J209" s="2" t="s">
        <v>131</v>
      </c>
      <c r="K209" s="4">
        <v>8</v>
      </c>
      <c r="L209" s="4">
        <v>1</v>
      </c>
      <c r="M209" s="2">
        <v>8</v>
      </c>
      <c r="N209" s="10" t="s">
        <v>142</v>
      </c>
      <c r="O209" s="6">
        <f>91.83*12</f>
        <v>1101.96</v>
      </c>
    </row>
    <row r="210" spans="1:15" s="5" customFormat="1" x14ac:dyDescent="0.2">
      <c r="A210" s="6"/>
      <c r="B210" s="7"/>
      <c r="C210" s="6"/>
      <c r="D210" s="6"/>
      <c r="E210" s="6"/>
      <c r="F210" s="6"/>
      <c r="G210" s="20"/>
      <c r="H210" s="20"/>
      <c r="I210" s="2" t="s">
        <v>24</v>
      </c>
      <c r="J210" s="2" t="s">
        <v>25</v>
      </c>
      <c r="K210" s="4">
        <v>0.9</v>
      </c>
      <c r="L210" s="4">
        <v>1</v>
      </c>
      <c r="M210" s="2">
        <v>0.9</v>
      </c>
      <c r="N210" s="10"/>
      <c r="O210" s="6"/>
    </row>
    <row r="211" spans="1:15" s="5" customFormat="1" x14ac:dyDescent="0.2">
      <c r="A211" s="6"/>
      <c r="B211" s="7"/>
      <c r="C211" s="6"/>
      <c r="D211" s="6"/>
      <c r="E211" s="6"/>
      <c r="F211" s="6"/>
      <c r="G211" s="20"/>
      <c r="H211" s="20"/>
      <c r="I211" s="2" t="s">
        <v>27</v>
      </c>
      <c r="J211" s="2" t="s">
        <v>131</v>
      </c>
      <c r="K211" s="4">
        <v>8</v>
      </c>
      <c r="L211" s="4">
        <v>0</v>
      </c>
      <c r="M211" s="2">
        <v>0</v>
      </c>
      <c r="N211" s="10"/>
      <c r="O211" s="6"/>
    </row>
    <row r="212" spans="1:15" s="5" customFormat="1" x14ac:dyDescent="0.2">
      <c r="A212" s="6"/>
      <c r="B212" s="7"/>
      <c r="C212" s="6"/>
      <c r="D212" s="6"/>
      <c r="E212" s="6"/>
      <c r="F212" s="6"/>
      <c r="G212" s="9"/>
      <c r="H212" s="9"/>
      <c r="I212" s="2" t="s">
        <v>27</v>
      </c>
      <c r="J212" s="2" t="s">
        <v>28</v>
      </c>
      <c r="K212" s="4">
        <v>1.1000000000000001</v>
      </c>
      <c r="L212" s="4">
        <v>2</v>
      </c>
      <c r="M212" s="2">
        <v>2.2000000000000002</v>
      </c>
      <c r="N212" s="10"/>
      <c r="O212" s="6"/>
    </row>
    <row r="213" spans="1:15" s="5" customFormat="1" ht="14.45" customHeight="1" x14ac:dyDescent="0.2">
      <c r="A213" s="6">
        <v>96</v>
      </c>
      <c r="B213" s="7" t="s">
        <v>143</v>
      </c>
      <c r="C213" s="6" t="s">
        <v>144</v>
      </c>
      <c r="D213" s="6" t="s">
        <v>145</v>
      </c>
      <c r="E213" s="6" t="s">
        <v>146</v>
      </c>
      <c r="F213" s="6" t="s">
        <v>22</v>
      </c>
      <c r="G213" s="8" t="s">
        <v>23</v>
      </c>
      <c r="H213" s="8">
        <v>12</v>
      </c>
      <c r="I213" s="2" t="s">
        <v>24</v>
      </c>
      <c r="J213" s="2" t="s">
        <v>25</v>
      </c>
      <c r="K213" s="4">
        <v>0.9</v>
      </c>
      <c r="L213" s="4">
        <v>1</v>
      </c>
      <c r="M213" s="2">
        <v>0.9</v>
      </c>
      <c r="N213" s="10" t="s">
        <v>147</v>
      </c>
      <c r="O213" s="6">
        <f>9.32*12</f>
        <v>111.84</v>
      </c>
    </row>
    <row r="214" spans="1:15" s="5" customFormat="1" x14ac:dyDescent="0.2">
      <c r="A214" s="6"/>
      <c r="B214" s="7"/>
      <c r="C214" s="6"/>
      <c r="D214" s="6"/>
      <c r="E214" s="6"/>
      <c r="F214" s="6"/>
      <c r="G214" s="9"/>
      <c r="H214" s="9"/>
      <c r="I214" s="2" t="s">
        <v>27</v>
      </c>
      <c r="J214" s="2" t="s">
        <v>28</v>
      </c>
      <c r="K214" s="4">
        <v>1.1000000000000001</v>
      </c>
      <c r="L214" s="4">
        <v>1</v>
      </c>
      <c r="M214" s="2">
        <v>1.1000000000000001</v>
      </c>
      <c r="N214" s="10"/>
      <c r="O214" s="6"/>
    </row>
    <row r="215" spans="1:15" s="5" customFormat="1" ht="14.45" customHeight="1" x14ac:dyDescent="0.2">
      <c r="A215" s="6">
        <v>97</v>
      </c>
      <c r="B215" s="7" t="s">
        <v>148</v>
      </c>
      <c r="C215" s="6" t="s">
        <v>149</v>
      </c>
      <c r="D215" s="6" t="s">
        <v>150</v>
      </c>
      <c r="E215" s="6" t="s">
        <v>151</v>
      </c>
      <c r="F215" s="6" t="s">
        <v>22</v>
      </c>
      <c r="G215" s="8" t="s">
        <v>23</v>
      </c>
      <c r="H215" s="8">
        <v>27</v>
      </c>
      <c r="I215" s="2" t="s">
        <v>130</v>
      </c>
      <c r="J215" s="2" t="s">
        <v>131</v>
      </c>
      <c r="K215" s="4">
        <v>8</v>
      </c>
      <c r="L215" s="4">
        <v>1</v>
      </c>
      <c r="M215" s="2">
        <v>8</v>
      </c>
      <c r="N215" s="10" t="s">
        <v>152</v>
      </c>
      <c r="O215" s="6">
        <f>49.37*12+0.07*12</f>
        <v>593.28</v>
      </c>
    </row>
    <row r="216" spans="1:15" s="5" customFormat="1" x14ac:dyDescent="0.2">
      <c r="A216" s="6"/>
      <c r="B216" s="7"/>
      <c r="C216" s="6"/>
      <c r="D216" s="6"/>
      <c r="E216" s="6"/>
      <c r="F216" s="6"/>
      <c r="G216" s="20"/>
      <c r="H216" s="20"/>
      <c r="I216" s="2" t="s">
        <v>24</v>
      </c>
      <c r="J216" s="2" t="s">
        <v>25</v>
      </c>
      <c r="K216" s="4">
        <v>0.9</v>
      </c>
      <c r="L216" s="4">
        <v>1</v>
      </c>
      <c r="M216" s="2">
        <v>0.9</v>
      </c>
      <c r="N216" s="10"/>
      <c r="O216" s="6"/>
    </row>
    <row r="217" spans="1:15" s="5" customFormat="1" ht="19.5" customHeight="1" x14ac:dyDescent="0.2">
      <c r="A217" s="6"/>
      <c r="B217" s="7"/>
      <c r="C217" s="6"/>
      <c r="D217" s="6"/>
      <c r="E217" s="6"/>
      <c r="F217" s="6"/>
      <c r="G217" s="9"/>
      <c r="H217" s="9"/>
      <c r="I217" s="2" t="s">
        <v>27</v>
      </c>
      <c r="J217" s="2" t="s">
        <v>28</v>
      </c>
      <c r="K217" s="4">
        <v>1.1000000000000001</v>
      </c>
      <c r="L217" s="4">
        <v>1</v>
      </c>
      <c r="M217" s="2">
        <v>1.1000000000000001</v>
      </c>
      <c r="N217" s="10"/>
      <c r="O217" s="6"/>
    </row>
    <row r="218" spans="1:15" s="5" customFormat="1" ht="25.5" x14ac:dyDescent="0.2">
      <c r="A218" s="2">
        <v>98</v>
      </c>
      <c r="B218" s="3" t="s">
        <v>770</v>
      </c>
      <c r="C218" s="2" t="s">
        <v>771</v>
      </c>
      <c r="D218" s="2" t="s">
        <v>772</v>
      </c>
      <c r="E218" s="2" t="s">
        <v>773</v>
      </c>
      <c r="F218" s="2" t="s">
        <v>22</v>
      </c>
      <c r="G218" s="2" t="s">
        <v>23</v>
      </c>
      <c r="H218" s="2">
        <v>12</v>
      </c>
      <c r="I218" s="2" t="s">
        <v>27</v>
      </c>
      <c r="J218" s="2" t="s">
        <v>28</v>
      </c>
      <c r="K218" s="4">
        <v>1.1000000000000001</v>
      </c>
      <c r="L218" s="4">
        <v>2</v>
      </c>
      <c r="M218" s="2">
        <v>2.2000000000000002</v>
      </c>
      <c r="N218" s="1" t="s">
        <v>110</v>
      </c>
      <c r="O218" s="2">
        <f>13.99*12</f>
        <v>167.88</v>
      </c>
    </row>
    <row r="219" spans="1:15" s="5" customFormat="1" ht="25.5" x14ac:dyDescent="0.2">
      <c r="A219" s="2">
        <v>99</v>
      </c>
      <c r="B219" s="3" t="s">
        <v>153</v>
      </c>
      <c r="C219" s="2" t="s">
        <v>154</v>
      </c>
      <c r="D219" s="2" t="s">
        <v>155</v>
      </c>
      <c r="E219" s="2" t="s">
        <v>156</v>
      </c>
      <c r="F219" s="2" t="s">
        <v>22</v>
      </c>
      <c r="G219" s="2" t="s">
        <v>74</v>
      </c>
      <c r="H219" s="2">
        <v>15</v>
      </c>
      <c r="I219" s="2" t="s">
        <v>27</v>
      </c>
      <c r="J219" s="2" t="s">
        <v>28</v>
      </c>
      <c r="K219" s="4">
        <v>1.1000000000000001</v>
      </c>
      <c r="L219" s="4">
        <v>1</v>
      </c>
      <c r="M219" s="2">
        <v>1.1000000000000001</v>
      </c>
      <c r="N219" s="1" t="s">
        <v>157</v>
      </c>
      <c r="O219" s="2">
        <f>7.83*12</f>
        <v>93.960000000000008</v>
      </c>
    </row>
    <row r="220" spans="1:15" s="5" customFormat="1" ht="14.45" customHeight="1" x14ac:dyDescent="0.2">
      <c r="A220" s="6">
        <v>100</v>
      </c>
      <c r="B220" s="7" t="s">
        <v>158</v>
      </c>
      <c r="C220" s="6" t="s">
        <v>159</v>
      </c>
      <c r="D220" s="6" t="s">
        <v>160</v>
      </c>
      <c r="E220" s="6" t="s">
        <v>161</v>
      </c>
      <c r="F220" s="6" t="s">
        <v>22</v>
      </c>
      <c r="G220" s="8" t="s">
        <v>23</v>
      </c>
      <c r="H220" s="8">
        <v>12</v>
      </c>
      <c r="I220" s="2" t="s">
        <v>24</v>
      </c>
      <c r="J220" s="2" t="s">
        <v>25</v>
      </c>
      <c r="K220" s="4">
        <v>0.9</v>
      </c>
      <c r="L220" s="4">
        <v>1</v>
      </c>
      <c r="M220" s="2">
        <v>0.9</v>
      </c>
      <c r="N220" s="10" t="s">
        <v>162</v>
      </c>
      <c r="O220" s="6">
        <f>12.46*12</f>
        <v>149.52000000000001</v>
      </c>
    </row>
    <row r="221" spans="1:15" s="5" customFormat="1" x14ac:dyDescent="0.2">
      <c r="A221" s="6"/>
      <c r="B221" s="7"/>
      <c r="C221" s="6"/>
      <c r="D221" s="6"/>
      <c r="E221" s="6"/>
      <c r="F221" s="6"/>
      <c r="G221" s="9"/>
      <c r="H221" s="9"/>
      <c r="I221" s="2" t="s">
        <v>27</v>
      </c>
      <c r="J221" s="2" t="s">
        <v>28</v>
      </c>
      <c r="K221" s="4">
        <v>1.1000000000000001</v>
      </c>
      <c r="L221" s="4">
        <v>1</v>
      </c>
      <c r="M221" s="2">
        <v>1.1000000000000001</v>
      </c>
      <c r="N221" s="10"/>
      <c r="O221" s="6"/>
    </row>
    <row r="222" spans="1:15" s="5" customFormat="1" ht="14.45" customHeight="1" x14ac:dyDescent="0.2">
      <c r="A222" s="6">
        <v>101</v>
      </c>
      <c r="B222" s="7" t="s">
        <v>163</v>
      </c>
      <c r="C222" s="6" t="s">
        <v>164</v>
      </c>
      <c r="D222" s="6" t="s">
        <v>165</v>
      </c>
      <c r="E222" s="6" t="s">
        <v>166</v>
      </c>
      <c r="F222" s="6" t="s">
        <v>22</v>
      </c>
      <c r="G222" s="8" t="s">
        <v>74</v>
      </c>
      <c r="H222" s="8">
        <v>27</v>
      </c>
      <c r="I222" s="2" t="s">
        <v>130</v>
      </c>
      <c r="J222" s="2" t="s">
        <v>131</v>
      </c>
      <c r="K222" s="4">
        <v>8</v>
      </c>
      <c r="L222" s="4">
        <v>1</v>
      </c>
      <c r="M222" s="2">
        <v>8</v>
      </c>
      <c r="N222" s="10" t="s">
        <v>167</v>
      </c>
      <c r="O222" s="6">
        <f>45.49*12</f>
        <v>545.88</v>
      </c>
    </row>
    <row r="223" spans="1:15" s="5" customFormat="1" x14ac:dyDescent="0.2">
      <c r="A223" s="6"/>
      <c r="B223" s="7"/>
      <c r="C223" s="6"/>
      <c r="D223" s="6"/>
      <c r="E223" s="6"/>
      <c r="F223" s="6"/>
      <c r="G223" s="20"/>
      <c r="H223" s="20"/>
      <c r="I223" s="2" t="s">
        <v>24</v>
      </c>
      <c r="J223" s="2" t="s">
        <v>25</v>
      </c>
      <c r="K223" s="4">
        <v>0.9</v>
      </c>
      <c r="L223" s="4">
        <v>1</v>
      </c>
      <c r="M223" s="2">
        <v>0.9</v>
      </c>
      <c r="N223" s="10"/>
      <c r="O223" s="6"/>
    </row>
    <row r="224" spans="1:15" s="5" customFormat="1" x14ac:dyDescent="0.2">
      <c r="A224" s="6"/>
      <c r="B224" s="7"/>
      <c r="C224" s="6"/>
      <c r="D224" s="6"/>
      <c r="E224" s="6"/>
      <c r="F224" s="6"/>
      <c r="G224" s="9"/>
      <c r="H224" s="9"/>
      <c r="I224" s="2" t="s">
        <v>27</v>
      </c>
      <c r="J224" s="2" t="s">
        <v>28</v>
      </c>
      <c r="K224" s="4">
        <v>1.1000000000000001</v>
      </c>
      <c r="L224" s="4">
        <v>1</v>
      </c>
      <c r="M224" s="2">
        <v>1.1000000000000001</v>
      </c>
      <c r="N224" s="10"/>
      <c r="O224" s="6"/>
    </row>
    <row r="225" spans="1:15" s="5" customFormat="1" ht="25.5" x14ac:dyDescent="0.2">
      <c r="A225" s="2">
        <v>102</v>
      </c>
      <c r="B225" s="3" t="s">
        <v>626</v>
      </c>
      <c r="C225" s="2" t="s">
        <v>627</v>
      </c>
      <c r="D225" s="2" t="s">
        <v>628</v>
      </c>
      <c r="E225" s="2" t="s">
        <v>629</v>
      </c>
      <c r="F225" s="2" t="s">
        <v>22</v>
      </c>
      <c r="G225" s="2" t="s">
        <v>74</v>
      </c>
      <c r="H225" s="2">
        <v>15</v>
      </c>
      <c r="I225" s="2" t="s">
        <v>27</v>
      </c>
      <c r="J225" s="2" t="s">
        <v>28</v>
      </c>
      <c r="K225" s="4">
        <v>1.1000000000000001</v>
      </c>
      <c r="L225" s="4">
        <v>1</v>
      </c>
      <c r="M225" s="2">
        <v>1.1000000000000001</v>
      </c>
      <c r="N225" s="1" t="s">
        <v>630</v>
      </c>
      <c r="O225" s="2">
        <f>7.84*12</f>
        <v>94.08</v>
      </c>
    </row>
    <row r="226" spans="1:15" s="5" customFormat="1" ht="14.45" customHeight="1" x14ac:dyDescent="0.2">
      <c r="A226" s="6">
        <v>103</v>
      </c>
      <c r="B226" s="7" t="s">
        <v>168</v>
      </c>
      <c r="C226" s="6" t="s">
        <v>169</v>
      </c>
      <c r="D226" s="6" t="s">
        <v>170</v>
      </c>
      <c r="E226" s="6" t="s">
        <v>171</v>
      </c>
      <c r="F226" s="6" t="s">
        <v>22</v>
      </c>
      <c r="G226" s="8" t="s">
        <v>23</v>
      </c>
      <c r="H226" s="8">
        <v>15</v>
      </c>
      <c r="I226" s="2" t="s">
        <v>24</v>
      </c>
      <c r="J226" s="2" t="s">
        <v>25</v>
      </c>
      <c r="K226" s="4">
        <v>0.9</v>
      </c>
      <c r="L226" s="4">
        <v>1</v>
      </c>
      <c r="M226" s="2">
        <v>0.9</v>
      </c>
      <c r="N226" s="10" t="s">
        <v>172</v>
      </c>
      <c r="O226" s="6">
        <f>28.83*12</f>
        <v>345.96</v>
      </c>
    </row>
    <row r="227" spans="1:15" s="5" customFormat="1" x14ac:dyDescent="0.2">
      <c r="A227" s="6"/>
      <c r="B227" s="7"/>
      <c r="C227" s="6"/>
      <c r="D227" s="6"/>
      <c r="E227" s="6"/>
      <c r="F227" s="6"/>
      <c r="G227" s="9"/>
      <c r="H227" s="9"/>
      <c r="I227" s="2" t="s">
        <v>27</v>
      </c>
      <c r="J227" s="2" t="s">
        <v>28</v>
      </c>
      <c r="K227" s="4">
        <v>1.1000000000000001</v>
      </c>
      <c r="L227" s="4">
        <v>3</v>
      </c>
      <c r="M227" s="2">
        <v>3.3000000000000003</v>
      </c>
      <c r="N227" s="10"/>
      <c r="O227" s="6"/>
    </row>
    <row r="228" spans="1:15" s="5" customFormat="1" ht="14.45" customHeight="1" x14ac:dyDescent="0.2">
      <c r="A228" s="6">
        <v>104</v>
      </c>
      <c r="B228" s="7" t="s">
        <v>173</v>
      </c>
      <c r="C228" s="6" t="s">
        <v>174</v>
      </c>
      <c r="D228" s="6" t="s">
        <v>175</v>
      </c>
      <c r="E228" s="6" t="s">
        <v>176</v>
      </c>
      <c r="F228" s="6" t="s">
        <v>22</v>
      </c>
      <c r="G228" s="8" t="s">
        <v>23</v>
      </c>
      <c r="H228" s="8">
        <v>12</v>
      </c>
      <c r="I228" s="2" t="s">
        <v>24</v>
      </c>
      <c r="J228" s="2" t="s">
        <v>25</v>
      </c>
      <c r="K228" s="4">
        <v>0.9</v>
      </c>
      <c r="L228" s="4">
        <v>1</v>
      </c>
      <c r="M228" s="2">
        <v>0.9</v>
      </c>
      <c r="N228" s="10" t="s">
        <v>177</v>
      </c>
      <c r="O228" s="6">
        <f>12.19*12</f>
        <v>146.28</v>
      </c>
    </row>
    <row r="229" spans="1:15" s="5" customFormat="1" x14ac:dyDescent="0.2">
      <c r="A229" s="6"/>
      <c r="B229" s="7"/>
      <c r="C229" s="6"/>
      <c r="D229" s="6"/>
      <c r="E229" s="6"/>
      <c r="F229" s="6"/>
      <c r="G229" s="9"/>
      <c r="H229" s="9"/>
      <c r="I229" s="2" t="s">
        <v>27</v>
      </c>
      <c r="J229" s="2" t="s">
        <v>28</v>
      </c>
      <c r="K229" s="4">
        <v>1.1000000000000001</v>
      </c>
      <c r="L229" s="4">
        <v>1</v>
      </c>
      <c r="M229" s="2">
        <v>1.1000000000000001</v>
      </c>
      <c r="N229" s="10"/>
      <c r="O229" s="6"/>
    </row>
    <row r="230" spans="1:15" s="5" customFormat="1" ht="14.45" customHeight="1" x14ac:dyDescent="0.2">
      <c r="A230" s="6">
        <v>105</v>
      </c>
      <c r="B230" s="7" t="s">
        <v>724</v>
      </c>
      <c r="C230" s="6" t="s">
        <v>725</v>
      </c>
      <c r="D230" s="6" t="s">
        <v>726</v>
      </c>
      <c r="E230" s="6" t="s">
        <v>727</v>
      </c>
      <c r="F230" s="6" t="s">
        <v>22</v>
      </c>
      <c r="G230" s="8" t="s">
        <v>23</v>
      </c>
      <c r="H230" s="8">
        <v>27</v>
      </c>
      <c r="I230" s="2" t="s">
        <v>24</v>
      </c>
      <c r="J230" s="2" t="s">
        <v>25</v>
      </c>
      <c r="K230" s="4">
        <v>0.9</v>
      </c>
      <c r="L230" s="4">
        <v>1</v>
      </c>
      <c r="M230" s="2">
        <v>0.9</v>
      </c>
      <c r="N230" s="10" t="s">
        <v>728</v>
      </c>
      <c r="O230" s="6">
        <f>39.19*12</f>
        <v>470.28</v>
      </c>
    </row>
    <row r="231" spans="1:15" s="5" customFormat="1" x14ac:dyDescent="0.2">
      <c r="A231" s="6"/>
      <c r="B231" s="7"/>
      <c r="C231" s="6"/>
      <c r="D231" s="6"/>
      <c r="E231" s="6"/>
      <c r="F231" s="6"/>
      <c r="G231" s="20"/>
      <c r="H231" s="20"/>
      <c r="I231" s="2" t="s">
        <v>27</v>
      </c>
      <c r="J231" s="2" t="s">
        <v>131</v>
      </c>
      <c r="K231" s="4">
        <v>8</v>
      </c>
      <c r="L231" s="4">
        <v>1</v>
      </c>
      <c r="M231" s="2">
        <v>8</v>
      </c>
      <c r="N231" s="10"/>
      <c r="O231" s="6"/>
    </row>
    <row r="232" spans="1:15" s="5" customFormat="1" x14ac:dyDescent="0.2">
      <c r="A232" s="6"/>
      <c r="B232" s="7"/>
      <c r="C232" s="6"/>
      <c r="D232" s="6"/>
      <c r="E232" s="6"/>
      <c r="F232" s="6"/>
      <c r="G232" s="9"/>
      <c r="H232" s="9"/>
      <c r="I232" s="2" t="s">
        <v>27</v>
      </c>
      <c r="J232" s="2" t="s">
        <v>28</v>
      </c>
      <c r="K232" s="4">
        <v>1.1000000000000001</v>
      </c>
      <c r="L232" s="4">
        <v>1</v>
      </c>
      <c r="M232" s="2">
        <v>1.1000000000000001</v>
      </c>
      <c r="N232" s="10"/>
      <c r="O232" s="6"/>
    </row>
    <row r="233" spans="1:15" s="5" customFormat="1" ht="25.5" x14ac:dyDescent="0.2">
      <c r="A233" s="2">
        <v>106</v>
      </c>
      <c r="B233" s="3" t="s">
        <v>178</v>
      </c>
      <c r="C233" s="2" t="s">
        <v>179</v>
      </c>
      <c r="D233" s="2" t="s">
        <v>180</v>
      </c>
      <c r="E233" s="2" t="s">
        <v>181</v>
      </c>
      <c r="F233" s="2" t="s">
        <v>22</v>
      </c>
      <c r="G233" s="2" t="s">
        <v>74</v>
      </c>
      <c r="H233" s="2">
        <v>15</v>
      </c>
      <c r="I233" s="2" t="s">
        <v>27</v>
      </c>
      <c r="J233" s="2" t="s">
        <v>28</v>
      </c>
      <c r="K233" s="4">
        <v>1.1000000000000001</v>
      </c>
      <c r="L233" s="4">
        <v>1</v>
      </c>
      <c r="M233" s="2">
        <v>1.1000000000000001</v>
      </c>
      <c r="N233" s="1" t="s">
        <v>182</v>
      </c>
      <c r="O233" s="2">
        <f>27.99*12</f>
        <v>335.88</v>
      </c>
    </row>
    <row r="234" spans="1:15" s="5" customFormat="1" ht="14.45" customHeight="1" x14ac:dyDescent="0.2">
      <c r="A234" s="6">
        <v>107</v>
      </c>
      <c r="B234" s="7" t="s">
        <v>183</v>
      </c>
      <c r="C234" s="6" t="s">
        <v>184</v>
      </c>
      <c r="D234" s="6" t="s">
        <v>185</v>
      </c>
      <c r="E234" s="6" t="s">
        <v>186</v>
      </c>
      <c r="F234" s="6" t="s">
        <v>22</v>
      </c>
      <c r="G234" s="8" t="s">
        <v>23</v>
      </c>
      <c r="H234" s="8">
        <v>12</v>
      </c>
      <c r="I234" s="2" t="s">
        <v>24</v>
      </c>
      <c r="J234" s="2" t="s">
        <v>25</v>
      </c>
      <c r="K234" s="4">
        <v>0.9</v>
      </c>
      <c r="L234" s="4">
        <v>1</v>
      </c>
      <c r="M234" s="2">
        <v>0.9</v>
      </c>
      <c r="N234" s="10" t="s">
        <v>187</v>
      </c>
      <c r="O234" s="6">
        <f>32.52*12</f>
        <v>390.24</v>
      </c>
    </row>
    <row r="235" spans="1:15" s="5" customFormat="1" x14ac:dyDescent="0.2">
      <c r="A235" s="6"/>
      <c r="B235" s="7"/>
      <c r="C235" s="6"/>
      <c r="D235" s="6"/>
      <c r="E235" s="6"/>
      <c r="F235" s="6"/>
      <c r="G235" s="9"/>
      <c r="H235" s="9"/>
      <c r="I235" s="2" t="s">
        <v>27</v>
      </c>
      <c r="J235" s="2" t="s">
        <v>28</v>
      </c>
      <c r="K235" s="4">
        <v>1.1000000000000001</v>
      </c>
      <c r="L235" s="4">
        <v>2</v>
      </c>
      <c r="M235" s="2">
        <v>2.2000000000000002</v>
      </c>
      <c r="N235" s="10"/>
      <c r="O235" s="6"/>
    </row>
    <row r="236" spans="1:15" s="5" customFormat="1" ht="14.45" customHeight="1" x14ac:dyDescent="0.2">
      <c r="A236" s="6">
        <v>108</v>
      </c>
      <c r="B236" s="7" t="s">
        <v>188</v>
      </c>
      <c r="C236" s="6" t="s">
        <v>189</v>
      </c>
      <c r="D236" s="6" t="s">
        <v>190</v>
      </c>
      <c r="E236" s="6" t="s">
        <v>191</v>
      </c>
      <c r="F236" s="6" t="s">
        <v>22</v>
      </c>
      <c r="G236" s="8" t="s">
        <v>23</v>
      </c>
      <c r="H236" s="8">
        <v>12</v>
      </c>
      <c r="I236" s="2" t="s">
        <v>24</v>
      </c>
      <c r="J236" s="2" t="s">
        <v>25</v>
      </c>
      <c r="K236" s="4">
        <v>0.9</v>
      </c>
      <c r="L236" s="4">
        <v>1</v>
      </c>
      <c r="M236" s="2">
        <v>0.9</v>
      </c>
      <c r="N236" s="10" t="s">
        <v>192</v>
      </c>
      <c r="O236" s="6">
        <f>38.9*12</f>
        <v>466.79999999999995</v>
      </c>
    </row>
    <row r="237" spans="1:15" s="5" customFormat="1" x14ac:dyDescent="0.2">
      <c r="A237" s="6"/>
      <c r="B237" s="7"/>
      <c r="C237" s="6"/>
      <c r="D237" s="6"/>
      <c r="E237" s="6"/>
      <c r="F237" s="6"/>
      <c r="G237" s="9"/>
      <c r="H237" s="9"/>
      <c r="I237" s="2" t="s">
        <v>27</v>
      </c>
      <c r="J237" s="2" t="s">
        <v>28</v>
      </c>
      <c r="K237" s="4">
        <v>1.1000000000000001</v>
      </c>
      <c r="L237" s="4">
        <v>2</v>
      </c>
      <c r="M237" s="2">
        <v>2.2000000000000002</v>
      </c>
      <c r="N237" s="10"/>
      <c r="O237" s="6"/>
    </row>
    <row r="238" spans="1:15" s="5" customFormat="1" ht="14.45" customHeight="1" x14ac:dyDescent="0.2">
      <c r="A238" s="6">
        <v>109</v>
      </c>
      <c r="B238" s="7" t="s">
        <v>193</v>
      </c>
      <c r="C238" s="6" t="s">
        <v>194</v>
      </c>
      <c r="D238" s="6" t="s">
        <v>195</v>
      </c>
      <c r="E238" s="6" t="s">
        <v>196</v>
      </c>
      <c r="F238" s="6" t="s">
        <v>22</v>
      </c>
      <c r="G238" s="8" t="s">
        <v>23</v>
      </c>
      <c r="H238" s="8">
        <v>12</v>
      </c>
      <c r="I238" s="2" t="s">
        <v>24</v>
      </c>
      <c r="J238" s="2" t="s">
        <v>25</v>
      </c>
      <c r="K238" s="4">
        <v>0.9</v>
      </c>
      <c r="L238" s="4">
        <v>1</v>
      </c>
      <c r="M238" s="2">
        <v>0.9</v>
      </c>
      <c r="N238" s="10" t="s">
        <v>197</v>
      </c>
      <c r="O238" s="6">
        <f>18.58*12+1.16*12</f>
        <v>236.87999999999997</v>
      </c>
    </row>
    <row r="239" spans="1:15" s="5" customFormat="1" x14ac:dyDescent="0.2">
      <c r="A239" s="6"/>
      <c r="B239" s="7"/>
      <c r="C239" s="6"/>
      <c r="D239" s="6"/>
      <c r="E239" s="6"/>
      <c r="F239" s="6"/>
      <c r="G239" s="9"/>
      <c r="H239" s="9"/>
      <c r="I239" s="2" t="s">
        <v>27</v>
      </c>
      <c r="J239" s="2" t="s">
        <v>28</v>
      </c>
      <c r="K239" s="4">
        <v>1.1000000000000001</v>
      </c>
      <c r="L239" s="4">
        <v>1</v>
      </c>
      <c r="M239" s="2">
        <v>1.1000000000000001</v>
      </c>
      <c r="N239" s="10"/>
      <c r="O239" s="6"/>
    </row>
    <row r="240" spans="1:15" s="5" customFormat="1" ht="14.45" customHeight="1" x14ac:dyDescent="0.2">
      <c r="A240" s="6">
        <v>110</v>
      </c>
      <c r="B240" s="7" t="s">
        <v>198</v>
      </c>
      <c r="C240" s="6" t="s">
        <v>199</v>
      </c>
      <c r="D240" s="6" t="s">
        <v>200</v>
      </c>
      <c r="E240" s="6" t="s">
        <v>201</v>
      </c>
      <c r="F240" s="6" t="s">
        <v>22</v>
      </c>
      <c r="G240" s="8" t="s">
        <v>23</v>
      </c>
      <c r="H240" s="8">
        <v>12</v>
      </c>
      <c r="I240" s="2" t="s">
        <v>24</v>
      </c>
      <c r="J240" s="2" t="s">
        <v>25</v>
      </c>
      <c r="K240" s="4">
        <v>0.9</v>
      </c>
      <c r="L240" s="4">
        <v>1</v>
      </c>
      <c r="M240" s="2">
        <v>0.9</v>
      </c>
      <c r="N240" s="10" t="s">
        <v>202</v>
      </c>
      <c r="O240" s="6">
        <f>19.65*12</f>
        <v>235.79999999999998</v>
      </c>
    </row>
    <row r="241" spans="1:15" s="5" customFormat="1" x14ac:dyDescent="0.2">
      <c r="A241" s="6"/>
      <c r="B241" s="7"/>
      <c r="C241" s="6"/>
      <c r="D241" s="6"/>
      <c r="E241" s="6"/>
      <c r="F241" s="6"/>
      <c r="G241" s="9"/>
      <c r="H241" s="9"/>
      <c r="I241" s="2" t="s">
        <v>27</v>
      </c>
      <c r="J241" s="2" t="s">
        <v>28</v>
      </c>
      <c r="K241" s="4">
        <v>1.1000000000000001</v>
      </c>
      <c r="L241" s="4">
        <v>1</v>
      </c>
      <c r="M241" s="2">
        <v>1.1000000000000001</v>
      </c>
      <c r="N241" s="10"/>
      <c r="O241" s="6"/>
    </row>
    <row r="242" spans="1:15" s="5" customFormat="1" ht="14.45" customHeight="1" x14ac:dyDescent="0.2">
      <c r="A242" s="6">
        <v>111</v>
      </c>
      <c r="B242" s="7" t="s">
        <v>863</v>
      </c>
      <c r="C242" s="6" t="s">
        <v>864</v>
      </c>
      <c r="D242" s="6" t="s">
        <v>865</v>
      </c>
      <c r="E242" s="6" t="s">
        <v>866</v>
      </c>
      <c r="F242" s="6" t="s">
        <v>826</v>
      </c>
      <c r="G242" s="8" t="s">
        <v>23</v>
      </c>
      <c r="H242" s="8">
        <v>13</v>
      </c>
      <c r="I242" s="2" t="s">
        <v>24</v>
      </c>
      <c r="J242" s="2" t="s">
        <v>25</v>
      </c>
      <c r="K242" s="4">
        <v>0.9</v>
      </c>
      <c r="L242" s="4">
        <v>1</v>
      </c>
      <c r="M242" s="2">
        <v>0.9</v>
      </c>
      <c r="N242" s="10" t="s">
        <v>192</v>
      </c>
      <c r="O242" s="6">
        <f>38.9*12</f>
        <v>466.79999999999995</v>
      </c>
    </row>
    <row r="243" spans="1:15" s="5" customFormat="1" x14ac:dyDescent="0.2">
      <c r="A243" s="6"/>
      <c r="B243" s="7"/>
      <c r="C243" s="6"/>
      <c r="D243" s="6"/>
      <c r="E243" s="6"/>
      <c r="F243" s="6"/>
      <c r="G243" s="9"/>
      <c r="H243" s="9"/>
      <c r="I243" s="2" t="s">
        <v>27</v>
      </c>
      <c r="J243" s="2" t="s">
        <v>28</v>
      </c>
      <c r="K243" s="4">
        <v>1.1000000000000001</v>
      </c>
      <c r="L243" s="4">
        <v>2</v>
      </c>
      <c r="M243" s="2">
        <v>2.2000000000000002</v>
      </c>
      <c r="N243" s="10"/>
      <c r="O243" s="6"/>
    </row>
    <row r="244" spans="1:15" s="5" customFormat="1" ht="14.45" customHeight="1" x14ac:dyDescent="0.2">
      <c r="A244" s="6">
        <v>112</v>
      </c>
      <c r="B244" s="7" t="s">
        <v>867</v>
      </c>
      <c r="C244" s="6" t="s">
        <v>868</v>
      </c>
      <c r="D244" s="6" t="s">
        <v>869</v>
      </c>
      <c r="E244" s="6" t="s">
        <v>870</v>
      </c>
      <c r="F244" s="6" t="s">
        <v>826</v>
      </c>
      <c r="G244" s="8" t="s">
        <v>23</v>
      </c>
      <c r="H244" s="8">
        <v>18</v>
      </c>
      <c r="I244" s="2" t="s">
        <v>24</v>
      </c>
      <c r="J244" s="2" t="s">
        <v>25</v>
      </c>
      <c r="K244" s="4">
        <v>0.9</v>
      </c>
      <c r="L244" s="4">
        <v>1</v>
      </c>
      <c r="M244" s="2">
        <v>0.9</v>
      </c>
      <c r="N244" s="10" t="s">
        <v>871</v>
      </c>
      <c r="O244" s="6">
        <f>76.29*12+2.85*12</f>
        <v>949.68000000000006</v>
      </c>
    </row>
    <row r="245" spans="1:15" s="5" customFormat="1" x14ac:dyDescent="0.2">
      <c r="A245" s="6"/>
      <c r="B245" s="7"/>
      <c r="C245" s="6"/>
      <c r="D245" s="6"/>
      <c r="E245" s="6"/>
      <c r="F245" s="6"/>
      <c r="G245" s="9"/>
      <c r="H245" s="9"/>
      <c r="I245" s="2" t="s">
        <v>27</v>
      </c>
      <c r="J245" s="2" t="s">
        <v>28</v>
      </c>
      <c r="K245" s="4">
        <v>1.1000000000000001</v>
      </c>
      <c r="L245" s="4">
        <v>4</v>
      </c>
      <c r="M245" s="2">
        <v>4.4000000000000004</v>
      </c>
      <c r="N245" s="10"/>
      <c r="O245" s="6"/>
    </row>
    <row r="246" spans="1:15" s="5" customFormat="1" ht="14.45" customHeight="1" x14ac:dyDescent="0.2">
      <c r="A246" s="6">
        <v>113</v>
      </c>
      <c r="B246" s="7" t="s">
        <v>203</v>
      </c>
      <c r="C246" s="6" t="s">
        <v>204</v>
      </c>
      <c r="D246" s="6" t="s">
        <v>205</v>
      </c>
      <c r="E246" s="6" t="s">
        <v>206</v>
      </c>
      <c r="F246" s="6" t="s">
        <v>22</v>
      </c>
      <c r="G246" s="8" t="s">
        <v>74</v>
      </c>
      <c r="H246" s="8">
        <v>12</v>
      </c>
      <c r="I246" s="2" t="s">
        <v>24</v>
      </c>
      <c r="J246" s="2" t="s">
        <v>25</v>
      </c>
      <c r="K246" s="4">
        <v>0.9</v>
      </c>
      <c r="L246" s="4">
        <v>1</v>
      </c>
      <c r="M246" s="2">
        <v>0.9</v>
      </c>
      <c r="N246" s="10" t="s">
        <v>177</v>
      </c>
      <c r="O246" s="6">
        <f>12.19*12</f>
        <v>146.28</v>
      </c>
    </row>
    <row r="247" spans="1:15" s="5" customFormat="1" x14ac:dyDescent="0.2">
      <c r="A247" s="6"/>
      <c r="B247" s="7"/>
      <c r="C247" s="6"/>
      <c r="D247" s="6"/>
      <c r="E247" s="6"/>
      <c r="F247" s="6"/>
      <c r="G247" s="9"/>
      <c r="H247" s="9"/>
      <c r="I247" s="2" t="s">
        <v>27</v>
      </c>
      <c r="J247" s="2" t="s">
        <v>28</v>
      </c>
      <c r="K247" s="4">
        <v>1.1000000000000001</v>
      </c>
      <c r="L247" s="4">
        <v>1</v>
      </c>
      <c r="M247" s="2">
        <v>1.1000000000000001</v>
      </c>
      <c r="N247" s="10"/>
      <c r="O247" s="6"/>
    </row>
    <row r="248" spans="1:15" s="5" customFormat="1" ht="25.5" x14ac:dyDescent="0.2">
      <c r="A248" s="2">
        <v>114</v>
      </c>
      <c r="B248" s="3" t="s">
        <v>207</v>
      </c>
      <c r="C248" s="2" t="s">
        <v>208</v>
      </c>
      <c r="D248" s="2" t="s">
        <v>209</v>
      </c>
      <c r="E248" s="2" t="s">
        <v>210</v>
      </c>
      <c r="F248" s="2" t="s">
        <v>22</v>
      </c>
      <c r="G248" s="2" t="s">
        <v>74</v>
      </c>
      <c r="H248" s="2">
        <v>0</v>
      </c>
      <c r="I248" s="2" t="s">
        <v>27</v>
      </c>
      <c r="J248" s="2" t="s">
        <v>28</v>
      </c>
      <c r="K248" s="4">
        <v>1.1000000000000001</v>
      </c>
      <c r="L248" s="4">
        <v>1</v>
      </c>
      <c r="M248" s="2">
        <v>1.1000000000000001</v>
      </c>
      <c r="N248" s="1" t="s">
        <v>211</v>
      </c>
      <c r="O248" s="2">
        <f>17.39*12</f>
        <v>208.68</v>
      </c>
    </row>
    <row r="249" spans="1:15" s="5" customFormat="1" ht="14.45" customHeight="1" x14ac:dyDescent="0.2">
      <c r="A249" s="6">
        <v>115</v>
      </c>
      <c r="B249" s="7" t="s">
        <v>212</v>
      </c>
      <c r="C249" s="6" t="s">
        <v>213</v>
      </c>
      <c r="D249" s="6" t="s">
        <v>214</v>
      </c>
      <c r="E249" s="6" t="s">
        <v>215</v>
      </c>
      <c r="F249" s="6" t="s">
        <v>22</v>
      </c>
      <c r="G249" s="8" t="s">
        <v>23</v>
      </c>
      <c r="H249" s="8">
        <v>12</v>
      </c>
      <c r="I249" s="2" t="s">
        <v>24</v>
      </c>
      <c r="J249" s="2" t="s">
        <v>25</v>
      </c>
      <c r="K249" s="4">
        <v>0.9</v>
      </c>
      <c r="L249" s="4">
        <v>1</v>
      </c>
      <c r="M249" s="2">
        <v>0.9</v>
      </c>
      <c r="N249" s="10" t="s">
        <v>216</v>
      </c>
      <c r="O249" s="6">
        <f>17.02*12</f>
        <v>204.24</v>
      </c>
    </row>
    <row r="250" spans="1:15" s="5" customFormat="1" x14ac:dyDescent="0.2">
      <c r="A250" s="6"/>
      <c r="B250" s="7"/>
      <c r="C250" s="6"/>
      <c r="D250" s="6"/>
      <c r="E250" s="6"/>
      <c r="F250" s="6"/>
      <c r="G250" s="9"/>
      <c r="H250" s="9"/>
      <c r="I250" s="2" t="s">
        <v>27</v>
      </c>
      <c r="J250" s="2" t="s">
        <v>28</v>
      </c>
      <c r="K250" s="4">
        <v>1.1000000000000001</v>
      </c>
      <c r="L250" s="4">
        <v>1</v>
      </c>
      <c r="M250" s="2">
        <v>1.1000000000000001</v>
      </c>
      <c r="N250" s="10"/>
      <c r="O250" s="6"/>
    </row>
    <row r="251" spans="1:15" s="5" customFormat="1" ht="14.45" customHeight="1" x14ac:dyDescent="0.2">
      <c r="A251" s="6">
        <v>116</v>
      </c>
      <c r="B251" s="7" t="s">
        <v>217</v>
      </c>
      <c r="C251" s="6" t="s">
        <v>218</v>
      </c>
      <c r="D251" s="6" t="s">
        <v>219</v>
      </c>
      <c r="E251" s="6" t="s">
        <v>220</v>
      </c>
      <c r="F251" s="6" t="s">
        <v>22</v>
      </c>
      <c r="G251" s="8" t="s">
        <v>74</v>
      </c>
      <c r="H251" s="8">
        <v>12</v>
      </c>
      <c r="I251" s="2" t="s">
        <v>24</v>
      </c>
      <c r="J251" s="2" t="s">
        <v>25</v>
      </c>
      <c r="K251" s="4">
        <v>0.9</v>
      </c>
      <c r="L251" s="4">
        <v>1</v>
      </c>
      <c r="M251" s="2">
        <v>0.9</v>
      </c>
      <c r="N251" s="10" t="s">
        <v>221</v>
      </c>
      <c r="O251" s="6">
        <f>28.99*12</f>
        <v>347.88</v>
      </c>
    </row>
    <row r="252" spans="1:15" s="5" customFormat="1" x14ac:dyDescent="0.2">
      <c r="A252" s="6"/>
      <c r="B252" s="7"/>
      <c r="C252" s="6"/>
      <c r="D252" s="6"/>
      <c r="E252" s="6"/>
      <c r="F252" s="6"/>
      <c r="G252" s="9"/>
      <c r="H252" s="9"/>
      <c r="I252" s="2" t="s">
        <v>27</v>
      </c>
      <c r="J252" s="2" t="s">
        <v>28</v>
      </c>
      <c r="K252" s="4">
        <v>1.1000000000000001</v>
      </c>
      <c r="L252" s="4">
        <v>1</v>
      </c>
      <c r="M252" s="2">
        <v>1.1000000000000001</v>
      </c>
      <c r="N252" s="10"/>
      <c r="O252" s="6"/>
    </row>
    <row r="253" spans="1:15" s="5" customFormat="1" ht="14.45" customHeight="1" x14ac:dyDescent="0.2">
      <c r="A253" s="6">
        <v>117</v>
      </c>
      <c r="B253" s="7" t="s">
        <v>222</v>
      </c>
      <c r="C253" s="6" t="s">
        <v>223</v>
      </c>
      <c r="D253" s="6" t="s">
        <v>224</v>
      </c>
      <c r="E253" s="6" t="s">
        <v>225</v>
      </c>
      <c r="F253" s="6" t="s">
        <v>22</v>
      </c>
      <c r="G253" s="8" t="s">
        <v>23</v>
      </c>
      <c r="H253" s="8">
        <v>12</v>
      </c>
      <c r="I253" s="2" t="s">
        <v>24</v>
      </c>
      <c r="J253" s="2" t="s">
        <v>25</v>
      </c>
      <c r="K253" s="4">
        <v>0.9</v>
      </c>
      <c r="L253" s="4">
        <v>1</v>
      </c>
      <c r="M253" s="2">
        <v>0.9</v>
      </c>
      <c r="N253" s="10" t="s">
        <v>226</v>
      </c>
      <c r="O253" s="6">
        <f>17.6*12</f>
        <v>211.20000000000002</v>
      </c>
    </row>
    <row r="254" spans="1:15" s="5" customFormat="1" x14ac:dyDescent="0.2">
      <c r="A254" s="6"/>
      <c r="B254" s="7"/>
      <c r="C254" s="6"/>
      <c r="D254" s="6"/>
      <c r="E254" s="6"/>
      <c r="F254" s="6"/>
      <c r="G254" s="9"/>
      <c r="H254" s="9"/>
      <c r="I254" s="2" t="s">
        <v>27</v>
      </c>
      <c r="J254" s="2" t="s">
        <v>28</v>
      </c>
      <c r="K254" s="4">
        <v>1.1000000000000001</v>
      </c>
      <c r="L254" s="4">
        <v>2</v>
      </c>
      <c r="M254" s="2">
        <v>2.2000000000000002</v>
      </c>
      <c r="N254" s="10"/>
      <c r="O254" s="6"/>
    </row>
    <row r="255" spans="1:15" s="5" customFormat="1" ht="14.45" customHeight="1" x14ac:dyDescent="0.2">
      <c r="A255" s="6">
        <v>118</v>
      </c>
      <c r="B255" s="7" t="s">
        <v>227</v>
      </c>
      <c r="C255" s="6" t="s">
        <v>228</v>
      </c>
      <c r="D255" s="6" t="s">
        <v>229</v>
      </c>
      <c r="E255" s="6" t="s">
        <v>230</v>
      </c>
      <c r="F255" s="6" t="s">
        <v>22</v>
      </c>
      <c r="G255" s="8" t="s">
        <v>23</v>
      </c>
      <c r="H255" s="8">
        <v>12</v>
      </c>
      <c r="I255" s="2" t="s">
        <v>24</v>
      </c>
      <c r="J255" s="2" t="s">
        <v>25</v>
      </c>
      <c r="K255" s="4">
        <v>0.9</v>
      </c>
      <c r="L255" s="4">
        <v>1</v>
      </c>
      <c r="M255" s="2">
        <v>0.9</v>
      </c>
      <c r="N255" s="10" t="s">
        <v>231</v>
      </c>
      <c r="O255" s="6">
        <f>26.23*12</f>
        <v>314.76</v>
      </c>
    </row>
    <row r="256" spans="1:15" s="5" customFormat="1" x14ac:dyDescent="0.2">
      <c r="A256" s="6"/>
      <c r="B256" s="7"/>
      <c r="C256" s="6"/>
      <c r="D256" s="6"/>
      <c r="E256" s="6"/>
      <c r="F256" s="6"/>
      <c r="G256" s="9"/>
      <c r="H256" s="9"/>
      <c r="I256" s="2" t="s">
        <v>27</v>
      </c>
      <c r="J256" s="2" t="s">
        <v>28</v>
      </c>
      <c r="K256" s="4">
        <v>1.1000000000000001</v>
      </c>
      <c r="L256" s="4">
        <v>1</v>
      </c>
      <c r="M256" s="2">
        <v>1.1000000000000001</v>
      </c>
      <c r="N256" s="10"/>
      <c r="O256" s="6"/>
    </row>
    <row r="257" spans="1:15" s="5" customFormat="1" ht="14.45" customHeight="1" x14ac:dyDescent="0.2">
      <c r="A257" s="6">
        <v>119</v>
      </c>
      <c r="B257" s="7" t="s">
        <v>232</v>
      </c>
      <c r="C257" s="6" t="s">
        <v>233</v>
      </c>
      <c r="D257" s="6" t="s">
        <v>234</v>
      </c>
      <c r="E257" s="6" t="s">
        <v>235</v>
      </c>
      <c r="F257" s="6" t="s">
        <v>22</v>
      </c>
      <c r="G257" s="8" t="s">
        <v>23</v>
      </c>
      <c r="H257" s="8">
        <v>12</v>
      </c>
      <c r="I257" s="2" t="s">
        <v>24</v>
      </c>
      <c r="J257" s="2" t="s">
        <v>25</v>
      </c>
      <c r="K257" s="4">
        <v>0.9</v>
      </c>
      <c r="L257" s="4">
        <v>1</v>
      </c>
      <c r="M257" s="2">
        <v>0.9</v>
      </c>
      <c r="N257" s="10" t="s">
        <v>236</v>
      </c>
      <c r="O257" s="6">
        <f>24.57*12</f>
        <v>294.84000000000003</v>
      </c>
    </row>
    <row r="258" spans="1:15" s="5" customFormat="1" x14ac:dyDescent="0.2">
      <c r="A258" s="6"/>
      <c r="B258" s="7"/>
      <c r="C258" s="6"/>
      <c r="D258" s="6"/>
      <c r="E258" s="6"/>
      <c r="F258" s="6"/>
      <c r="G258" s="9"/>
      <c r="H258" s="9"/>
      <c r="I258" s="2" t="s">
        <v>27</v>
      </c>
      <c r="J258" s="2" t="s">
        <v>28</v>
      </c>
      <c r="K258" s="4">
        <v>1.1000000000000001</v>
      </c>
      <c r="L258" s="4">
        <v>1</v>
      </c>
      <c r="M258" s="2">
        <v>1.1000000000000001</v>
      </c>
      <c r="N258" s="10"/>
      <c r="O258" s="6"/>
    </row>
    <row r="259" spans="1:15" s="5" customFormat="1" ht="14.45" customHeight="1" x14ac:dyDescent="0.2">
      <c r="A259" s="6">
        <v>120</v>
      </c>
      <c r="B259" s="7" t="s">
        <v>237</v>
      </c>
      <c r="C259" s="6" t="s">
        <v>238</v>
      </c>
      <c r="D259" s="6" t="s">
        <v>239</v>
      </c>
      <c r="E259" s="6" t="s">
        <v>240</v>
      </c>
      <c r="F259" s="6" t="s">
        <v>22</v>
      </c>
      <c r="G259" s="8" t="s">
        <v>74</v>
      </c>
      <c r="H259" s="8">
        <v>12</v>
      </c>
      <c r="I259" s="2" t="s">
        <v>24</v>
      </c>
      <c r="J259" s="2" t="s">
        <v>25</v>
      </c>
      <c r="K259" s="4">
        <v>0.9</v>
      </c>
      <c r="L259" s="4">
        <v>1</v>
      </c>
      <c r="M259" s="2">
        <v>0.9</v>
      </c>
      <c r="N259" s="10" t="s">
        <v>241</v>
      </c>
      <c r="O259" s="6">
        <f>20.69*12+0.14*12+0.11*12</f>
        <v>251.28000000000003</v>
      </c>
    </row>
    <row r="260" spans="1:15" s="5" customFormat="1" x14ac:dyDescent="0.2">
      <c r="A260" s="6"/>
      <c r="B260" s="7"/>
      <c r="C260" s="6"/>
      <c r="D260" s="6"/>
      <c r="E260" s="6"/>
      <c r="F260" s="6"/>
      <c r="G260" s="9"/>
      <c r="H260" s="9"/>
      <c r="I260" s="2" t="s">
        <v>27</v>
      </c>
      <c r="J260" s="2" t="s">
        <v>28</v>
      </c>
      <c r="K260" s="4">
        <v>1.1000000000000001</v>
      </c>
      <c r="L260" s="4">
        <v>1</v>
      </c>
      <c r="M260" s="2">
        <v>1.1000000000000001</v>
      </c>
      <c r="N260" s="10"/>
      <c r="O260" s="6"/>
    </row>
    <row r="261" spans="1:15" s="5" customFormat="1" ht="14.45" customHeight="1" x14ac:dyDescent="0.2">
      <c r="A261" s="6">
        <v>121</v>
      </c>
      <c r="B261" s="7" t="s">
        <v>872</v>
      </c>
      <c r="C261" s="6" t="s">
        <v>873</v>
      </c>
      <c r="D261" s="6" t="s">
        <v>874</v>
      </c>
      <c r="E261" s="6" t="s">
        <v>875</v>
      </c>
      <c r="F261" s="6" t="s">
        <v>826</v>
      </c>
      <c r="G261" s="8" t="s">
        <v>23</v>
      </c>
      <c r="H261" s="8">
        <v>21</v>
      </c>
      <c r="I261" s="2" t="s">
        <v>24</v>
      </c>
      <c r="J261" s="2" t="s">
        <v>25</v>
      </c>
      <c r="K261" s="4">
        <v>0.9</v>
      </c>
      <c r="L261" s="4">
        <v>1</v>
      </c>
      <c r="M261" s="2">
        <v>0.9</v>
      </c>
      <c r="N261" s="10" t="s">
        <v>876</v>
      </c>
      <c r="O261" s="6">
        <f>72.92*12+1.26*12+0.93*12</f>
        <v>901.31999999999994</v>
      </c>
    </row>
    <row r="262" spans="1:15" s="5" customFormat="1" ht="15.75" customHeight="1" x14ac:dyDescent="0.2">
      <c r="A262" s="6"/>
      <c r="B262" s="7"/>
      <c r="C262" s="6"/>
      <c r="D262" s="6"/>
      <c r="E262" s="6"/>
      <c r="F262" s="6"/>
      <c r="G262" s="9"/>
      <c r="H262" s="9"/>
      <c r="I262" s="2" t="s">
        <v>27</v>
      </c>
      <c r="J262" s="2" t="s">
        <v>28</v>
      </c>
      <c r="K262" s="4">
        <v>1.1000000000000001</v>
      </c>
      <c r="L262" s="4">
        <v>3</v>
      </c>
      <c r="M262" s="2">
        <v>3.3000000000000003</v>
      </c>
      <c r="N262" s="10"/>
      <c r="O262" s="6"/>
    </row>
    <row r="263" spans="1:15" s="5" customFormat="1" ht="25.5" x14ac:dyDescent="0.2">
      <c r="A263" s="2">
        <v>122</v>
      </c>
      <c r="B263" s="3" t="s">
        <v>808</v>
      </c>
      <c r="C263" s="2" t="s">
        <v>809</v>
      </c>
      <c r="D263" s="2" t="s">
        <v>810</v>
      </c>
      <c r="E263" s="2" t="s">
        <v>811</v>
      </c>
      <c r="F263" s="2" t="s">
        <v>22</v>
      </c>
      <c r="G263" s="2" t="s">
        <v>74</v>
      </c>
      <c r="H263" s="2">
        <v>12</v>
      </c>
      <c r="I263" s="2" t="s">
        <v>27</v>
      </c>
      <c r="J263" s="2" t="s">
        <v>28</v>
      </c>
      <c r="K263" s="4">
        <v>1.1000000000000001</v>
      </c>
      <c r="L263" s="4">
        <v>2</v>
      </c>
      <c r="M263" s="2">
        <v>2.2000000000000002</v>
      </c>
      <c r="N263" s="1" t="s">
        <v>812</v>
      </c>
      <c r="O263" s="2">
        <f>9.31*12</f>
        <v>111.72</v>
      </c>
    </row>
    <row r="264" spans="1:15" s="5" customFormat="1" ht="25.5" x14ac:dyDescent="0.2">
      <c r="A264" s="2">
        <v>123</v>
      </c>
      <c r="B264" s="3" t="s">
        <v>242</v>
      </c>
      <c r="C264" s="2" t="s">
        <v>243</v>
      </c>
      <c r="D264" s="2" t="s">
        <v>244</v>
      </c>
      <c r="E264" s="2" t="s">
        <v>245</v>
      </c>
      <c r="F264" s="2" t="s">
        <v>22</v>
      </c>
      <c r="G264" s="2" t="s">
        <v>23</v>
      </c>
      <c r="H264" s="2">
        <v>27</v>
      </c>
      <c r="I264" s="2" t="s">
        <v>130</v>
      </c>
      <c r="J264" s="2" t="s">
        <v>131</v>
      </c>
      <c r="K264" s="4">
        <v>8</v>
      </c>
      <c r="L264" s="4">
        <v>1</v>
      </c>
      <c r="M264" s="2">
        <v>8</v>
      </c>
      <c r="N264" s="1" t="s">
        <v>246</v>
      </c>
      <c r="O264" s="2">
        <f>24.93*12</f>
        <v>299.15999999999997</v>
      </c>
    </row>
    <row r="265" spans="1:15" s="5" customFormat="1" ht="14.45" customHeight="1" x14ac:dyDescent="0.2">
      <c r="A265" s="6">
        <v>124</v>
      </c>
      <c r="B265" s="7" t="s">
        <v>247</v>
      </c>
      <c r="C265" s="6" t="s">
        <v>248</v>
      </c>
      <c r="D265" s="6" t="s">
        <v>249</v>
      </c>
      <c r="E265" s="6" t="s">
        <v>250</v>
      </c>
      <c r="F265" s="6" t="s">
        <v>22</v>
      </c>
      <c r="G265" s="8" t="s">
        <v>74</v>
      </c>
      <c r="H265" s="8">
        <v>15</v>
      </c>
      <c r="I265" s="2" t="s">
        <v>24</v>
      </c>
      <c r="J265" s="2" t="s">
        <v>25</v>
      </c>
      <c r="K265" s="4">
        <v>0.9</v>
      </c>
      <c r="L265" s="4">
        <v>1</v>
      </c>
      <c r="M265" s="2">
        <v>0.9</v>
      </c>
      <c r="N265" s="10" t="s">
        <v>251</v>
      </c>
      <c r="O265" s="6">
        <f>15.47*12</f>
        <v>185.64000000000001</v>
      </c>
    </row>
    <row r="266" spans="1:15" s="5" customFormat="1" x14ac:dyDescent="0.2">
      <c r="A266" s="6"/>
      <c r="B266" s="7"/>
      <c r="C266" s="6"/>
      <c r="D266" s="6"/>
      <c r="E266" s="6"/>
      <c r="F266" s="6"/>
      <c r="G266" s="9"/>
      <c r="H266" s="9"/>
      <c r="I266" s="2" t="s">
        <v>27</v>
      </c>
      <c r="J266" s="2" t="s">
        <v>28</v>
      </c>
      <c r="K266" s="4">
        <v>1.1000000000000001</v>
      </c>
      <c r="L266" s="4">
        <v>1</v>
      </c>
      <c r="M266" s="2">
        <v>1.1000000000000001</v>
      </c>
      <c r="N266" s="10"/>
      <c r="O266" s="6"/>
    </row>
    <row r="267" spans="1:15" s="5" customFormat="1" ht="14.45" customHeight="1" x14ac:dyDescent="0.2">
      <c r="A267" s="6">
        <v>125</v>
      </c>
      <c r="B267" s="7" t="s">
        <v>252</v>
      </c>
      <c r="C267" s="6" t="s">
        <v>253</v>
      </c>
      <c r="D267" s="6" t="s">
        <v>254</v>
      </c>
      <c r="E267" s="6" t="s">
        <v>255</v>
      </c>
      <c r="F267" s="6" t="s">
        <v>22</v>
      </c>
      <c r="G267" s="8" t="s">
        <v>23</v>
      </c>
      <c r="H267" s="8">
        <v>15</v>
      </c>
      <c r="I267" s="2" t="s">
        <v>24</v>
      </c>
      <c r="J267" s="2" t="s">
        <v>25</v>
      </c>
      <c r="K267" s="4">
        <v>0.9</v>
      </c>
      <c r="L267" s="4">
        <v>1</v>
      </c>
      <c r="M267" s="2">
        <v>0.9</v>
      </c>
      <c r="N267" s="10" t="s">
        <v>256</v>
      </c>
      <c r="O267" s="6">
        <f>19.03*12+0.7*12</f>
        <v>236.76000000000002</v>
      </c>
    </row>
    <row r="268" spans="1:15" s="5" customFormat="1" x14ac:dyDescent="0.2">
      <c r="A268" s="6"/>
      <c r="B268" s="7"/>
      <c r="C268" s="6"/>
      <c r="D268" s="6"/>
      <c r="E268" s="6"/>
      <c r="F268" s="6"/>
      <c r="G268" s="9"/>
      <c r="H268" s="9"/>
      <c r="I268" s="2" t="s">
        <v>27</v>
      </c>
      <c r="J268" s="2" t="s">
        <v>28</v>
      </c>
      <c r="K268" s="4">
        <v>1.1000000000000001</v>
      </c>
      <c r="L268" s="4">
        <v>2</v>
      </c>
      <c r="M268" s="2">
        <v>2.2000000000000002</v>
      </c>
      <c r="N268" s="10"/>
      <c r="O268" s="6"/>
    </row>
    <row r="269" spans="1:15" s="5" customFormat="1" ht="25.5" x14ac:dyDescent="0.2">
      <c r="A269" s="2">
        <v>126</v>
      </c>
      <c r="B269" s="3" t="s">
        <v>257</v>
      </c>
      <c r="C269" s="2" t="s">
        <v>258</v>
      </c>
      <c r="D269" s="2" t="s">
        <v>259</v>
      </c>
      <c r="E269" s="2" t="s">
        <v>260</v>
      </c>
      <c r="F269" s="2" t="s">
        <v>22</v>
      </c>
      <c r="G269" s="2" t="s">
        <v>23</v>
      </c>
      <c r="H269" s="2">
        <v>15</v>
      </c>
      <c r="I269" s="2" t="s">
        <v>27</v>
      </c>
      <c r="J269" s="2" t="s">
        <v>28</v>
      </c>
      <c r="K269" s="4">
        <v>1.1000000000000001</v>
      </c>
      <c r="L269" s="4">
        <v>2</v>
      </c>
      <c r="M269" s="2">
        <v>2.2000000000000002</v>
      </c>
      <c r="N269" s="1" t="s">
        <v>261</v>
      </c>
      <c r="O269" s="2">
        <f>33.11*12+0.07*12+0.1*12</f>
        <v>399.35999999999996</v>
      </c>
    </row>
    <row r="270" spans="1:15" s="5" customFormat="1" ht="14.45" customHeight="1" x14ac:dyDescent="0.2">
      <c r="A270" s="6">
        <v>127</v>
      </c>
      <c r="B270" s="7" t="s">
        <v>877</v>
      </c>
      <c r="C270" s="6" t="s">
        <v>878</v>
      </c>
      <c r="D270" s="6" t="s">
        <v>879</v>
      </c>
      <c r="E270" s="6" t="s">
        <v>880</v>
      </c>
      <c r="F270" s="6" t="s">
        <v>826</v>
      </c>
      <c r="G270" s="8" t="s">
        <v>23</v>
      </c>
      <c r="H270" s="8">
        <v>7</v>
      </c>
      <c r="I270" s="2" t="s">
        <v>24</v>
      </c>
      <c r="J270" s="2" t="s">
        <v>25</v>
      </c>
      <c r="K270" s="4">
        <v>0.9</v>
      </c>
      <c r="L270" s="4">
        <v>1</v>
      </c>
      <c r="M270" s="2">
        <v>0.9</v>
      </c>
      <c r="N270" s="10" t="s">
        <v>881</v>
      </c>
      <c r="O270" s="6">
        <f>27.86*12</f>
        <v>334.32</v>
      </c>
    </row>
    <row r="271" spans="1:15" s="5" customFormat="1" x14ac:dyDescent="0.2">
      <c r="A271" s="6"/>
      <c r="B271" s="7"/>
      <c r="C271" s="6"/>
      <c r="D271" s="6"/>
      <c r="E271" s="6"/>
      <c r="F271" s="6"/>
      <c r="G271" s="9"/>
      <c r="H271" s="9"/>
      <c r="I271" s="2" t="s">
        <v>27</v>
      </c>
      <c r="J271" s="2" t="s">
        <v>28</v>
      </c>
      <c r="K271" s="4">
        <v>1.1000000000000001</v>
      </c>
      <c r="L271" s="4">
        <v>2</v>
      </c>
      <c r="M271" s="2">
        <v>2.2000000000000002</v>
      </c>
      <c r="N271" s="10"/>
      <c r="O271" s="6"/>
    </row>
    <row r="272" spans="1:15" s="5" customFormat="1" ht="14.45" customHeight="1" x14ac:dyDescent="0.2">
      <c r="A272" s="6">
        <v>128</v>
      </c>
      <c r="B272" s="7" t="s">
        <v>882</v>
      </c>
      <c r="C272" s="6" t="s">
        <v>883</v>
      </c>
      <c r="D272" s="6" t="s">
        <v>884</v>
      </c>
      <c r="E272" s="6" t="s">
        <v>885</v>
      </c>
      <c r="F272" s="6" t="s">
        <v>826</v>
      </c>
      <c r="G272" s="8" t="s">
        <v>23</v>
      </c>
      <c r="H272" s="8">
        <v>12</v>
      </c>
      <c r="I272" s="2" t="s">
        <v>24</v>
      </c>
      <c r="J272" s="2" t="s">
        <v>25</v>
      </c>
      <c r="K272" s="4">
        <v>0.9</v>
      </c>
      <c r="L272" s="4">
        <v>1</v>
      </c>
      <c r="M272" s="2">
        <v>0.9</v>
      </c>
      <c r="N272" s="10" t="s">
        <v>886</v>
      </c>
      <c r="O272" s="6">
        <f>48.95*12+0.07*12+1.02*12</f>
        <v>600.48000000000013</v>
      </c>
    </row>
    <row r="273" spans="1:15" s="5" customFormat="1" x14ac:dyDescent="0.2">
      <c r="A273" s="6"/>
      <c r="B273" s="7"/>
      <c r="C273" s="6"/>
      <c r="D273" s="6"/>
      <c r="E273" s="6"/>
      <c r="F273" s="6"/>
      <c r="G273" s="9"/>
      <c r="H273" s="9"/>
      <c r="I273" s="2" t="s">
        <v>27</v>
      </c>
      <c r="J273" s="2" t="s">
        <v>28</v>
      </c>
      <c r="K273" s="4">
        <v>1.1000000000000001</v>
      </c>
      <c r="L273" s="4">
        <v>3</v>
      </c>
      <c r="M273" s="2">
        <v>3.3000000000000003</v>
      </c>
      <c r="N273" s="10"/>
      <c r="O273" s="6"/>
    </row>
    <row r="274" spans="1:15" s="5" customFormat="1" ht="14.45" customHeight="1" x14ac:dyDescent="0.2">
      <c r="A274" s="6">
        <v>129</v>
      </c>
      <c r="B274" s="7" t="s">
        <v>887</v>
      </c>
      <c r="C274" s="6" t="s">
        <v>888</v>
      </c>
      <c r="D274" s="6" t="s">
        <v>889</v>
      </c>
      <c r="E274" s="6" t="s">
        <v>890</v>
      </c>
      <c r="F274" s="6" t="s">
        <v>826</v>
      </c>
      <c r="G274" s="8" t="s">
        <v>23</v>
      </c>
      <c r="H274" s="8">
        <v>12</v>
      </c>
      <c r="I274" s="2" t="s">
        <v>24</v>
      </c>
      <c r="J274" s="2" t="s">
        <v>25</v>
      </c>
      <c r="K274" s="4">
        <v>0.9</v>
      </c>
      <c r="L274" s="4">
        <v>1</v>
      </c>
      <c r="M274" s="2">
        <v>0.9</v>
      </c>
      <c r="N274" s="10" t="s">
        <v>891</v>
      </c>
      <c r="O274" s="6">
        <f>54.42*12+0.07*12</f>
        <v>653.88</v>
      </c>
    </row>
    <row r="275" spans="1:15" s="5" customFormat="1" x14ac:dyDescent="0.2">
      <c r="A275" s="6"/>
      <c r="B275" s="7"/>
      <c r="C275" s="6"/>
      <c r="D275" s="6"/>
      <c r="E275" s="6"/>
      <c r="F275" s="6"/>
      <c r="G275" s="20"/>
      <c r="H275" s="20"/>
      <c r="I275" s="2" t="s">
        <v>27</v>
      </c>
      <c r="J275" s="2" t="s">
        <v>892</v>
      </c>
      <c r="K275" s="4">
        <v>1.1000000000000001</v>
      </c>
      <c r="L275" s="4">
        <v>1</v>
      </c>
      <c r="M275" s="2">
        <v>1.1000000000000001</v>
      </c>
      <c r="N275" s="10"/>
      <c r="O275" s="6"/>
    </row>
    <row r="276" spans="1:15" s="5" customFormat="1" ht="15.75" customHeight="1" x14ac:dyDescent="0.2">
      <c r="A276" s="6"/>
      <c r="B276" s="7"/>
      <c r="C276" s="6"/>
      <c r="D276" s="6"/>
      <c r="E276" s="6"/>
      <c r="F276" s="6"/>
      <c r="G276" s="9"/>
      <c r="H276" s="9"/>
      <c r="I276" s="2" t="s">
        <v>27</v>
      </c>
      <c r="J276" s="2" t="s">
        <v>28</v>
      </c>
      <c r="K276" s="4">
        <v>1.1000000000000001</v>
      </c>
      <c r="L276" s="4">
        <v>4</v>
      </c>
      <c r="M276" s="2">
        <v>4.4000000000000004</v>
      </c>
      <c r="N276" s="10"/>
      <c r="O276" s="6"/>
    </row>
    <row r="277" spans="1:15" s="5" customFormat="1" ht="25.5" x14ac:dyDescent="0.2">
      <c r="A277" s="2">
        <v>130</v>
      </c>
      <c r="B277" s="3" t="s">
        <v>1006</v>
      </c>
      <c r="C277" s="2" t="s">
        <v>1007</v>
      </c>
      <c r="D277" s="2" t="s">
        <v>1008</v>
      </c>
      <c r="E277" s="2" t="s">
        <v>1009</v>
      </c>
      <c r="F277" s="2" t="s">
        <v>22</v>
      </c>
      <c r="G277" s="2" t="s">
        <v>74</v>
      </c>
      <c r="H277" s="2">
        <v>12</v>
      </c>
      <c r="I277" s="2" t="s">
        <v>27</v>
      </c>
      <c r="J277" s="2" t="s">
        <v>28</v>
      </c>
      <c r="K277" s="4">
        <v>1.1000000000000001</v>
      </c>
      <c r="L277" s="4">
        <v>1</v>
      </c>
      <c r="M277" s="2">
        <v>1.1000000000000001</v>
      </c>
      <c r="N277" s="1" t="s">
        <v>110</v>
      </c>
      <c r="O277" s="2">
        <f>13.99*12</f>
        <v>167.88</v>
      </c>
    </row>
    <row r="278" spans="1:15" s="5" customFormat="1" ht="14.45" customHeight="1" x14ac:dyDescent="0.2">
      <c r="A278" s="6">
        <v>131</v>
      </c>
      <c r="B278" s="7" t="s">
        <v>655</v>
      </c>
      <c r="C278" s="6" t="s">
        <v>656</v>
      </c>
      <c r="D278" s="6" t="s">
        <v>657</v>
      </c>
      <c r="E278" s="6" t="s">
        <v>658</v>
      </c>
      <c r="F278" s="6" t="s">
        <v>22</v>
      </c>
      <c r="G278" s="8" t="s">
        <v>23</v>
      </c>
      <c r="H278" s="8">
        <v>12</v>
      </c>
      <c r="I278" s="2" t="s">
        <v>24</v>
      </c>
      <c r="J278" s="2" t="s">
        <v>25</v>
      </c>
      <c r="K278" s="4">
        <v>0.9</v>
      </c>
      <c r="L278" s="4">
        <v>1</v>
      </c>
      <c r="M278" s="2">
        <v>0.9</v>
      </c>
      <c r="N278" s="10" t="s">
        <v>659</v>
      </c>
      <c r="O278" s="6">
        <f>23.84*12+0.36*12</f>
        <v>290.39999999999998</v>
      </c>
    </row>
    <row r="279" spans="1:15" s="5" customFormat="1" x14ac:dyDescent="0.2">
      <c r="A279" s="6"/>
      <c r="B279" s="7"/>
      <c r="C279" s="6"/>
      <c r="D279" s="6"/>
      <c r="E279" s="6"/>
      <c r="F279" s="6"/>
      <c r="G279" s="9"/>
      <c r="H279" s="9"/>
      <c r="I279" s="2" t="s">
        <v>27</v>
      </c>
      <c r="J279" s="2" t="s">
        <v>28</v>
      </c>
      <c r="K279" s="4">
        <v>1.1000000000000001</v>
      </c>
      <c r="L279" s="4">
        <v>3</v>
      </c>
      <c r="M279" s="2">
        <v>3.3000000000000003</v>
      </c>
      <c r="N279" s="10"/>
      <c r="O279" s="6"/>
    </row>
    <row r="280" spans="1:15" s="5" customFormat="1" ht="25.5" x14ac:dyDescent="0.2">
      <c r="A280" s="2">
        <v>132</v>
      </c>
      <c r="B280" s="3" t="s">
        <v>756</v>
      </c>
      <c r="C280" s="2" t="s">
        <v>757</v>
      </c>
      <c r="D280" s="2" t="s">
        <v>758</v>
      </c>
      <c r="E280" s="2" t="s">
        <v>759</v>
      </c>
      <c r="F280" s="2" t="s">
        <v>22</v>
      </c>
      <c r="G280" s="2" t="s">
        <v>23</v>
      </c>
      <c r="H280" s="2">
        <v>12</v>
      </c>
      <c r="I280" s="2" t="s">
        <v>27</v>
      </c>
      <c r="J280" s="2" t="s">
        <v>28</v>
      </c>
      <c r="K280" s="4">
        <v>1.1000000000000001</v>
      </c>
      <c r="L280" s="4">
        <v>1</v>
      </c>
      <c r="M280" s="2">
        <v>1.1000000000000001</v>
      </c>
      <c r="N280" s="1" t="s">
        <v>291</v>
      </c>
      <c r="O280" s="2">
        <f>25.39*12</f>
        <v>304.68</v>
      </c>
    </row>
    <row r="281" spans="1:15" s="5" customFormat="1" ht="14.45" customHeight="1" x14ac:dyDescent="0.2">
      <c r="A281" s="6">
        <v>133</v>
      </c>
      <c r="B281" s="7" t="s">
        <v>660</v>
      </c>
      <c r="C281" s="6" t="s">
        <v>661</v>
      </c>
      <c r="D281" s="6" t="s">
        <v>662</v>
      </c>
      <c r="E281" s="6" t="s">
        <v>663</v>
      </c>
      <c r="F281" s="6" t="s">
        <v>22</v>
      </c>
      <c r="G281" s="8" t="s">
        <v>23</v>
      </c>
      <c r="H281" s="8">
        <v>15</v>
      </c>
      <c r="I281" s="2" t="s">
        <v>24</v>
      </c>
      <c r="J281" s="2" t="s">
        <v>24</v>
      </c>
      <c r="K281" s="4">
        <v>1.1000000000000001</v>
      </c>
      <c r="L281" s="4">
        <v>1</v>
      </c>
      <c r="M281" s="2">
        <v>1.1000000000000001</v>
      </c>
      <c r="N281" s="10" t="s">
        <v>664</v>
      </c>
      <c r="O281" s="6">
        <f>52.58*12+1.16*12</f>
        <v>644.88</v>
      </c>
    </row>
    <row r="282" spans="1:15" s="5" customFormat="1" x14ac:dyDescent="0.2">
      <c r="A282" s="6"/>
      <c r="B282" s="7"/>
      <c r="C282" s="6"/>
      <c r="D282" s="6"/>
      <c r="E282" s="6"/>
      <c r="F282" s="6"/>
      <c r="G282" s="9"/>
      <c r="H282" s="9"/>
      <c r="I282" s="2" t="s">
        <v>27</v>
      </c>
      <c r="J282" s="2" t="s">
        <v>28</v>
      </c>
      <c r="K282" s="4">
        <v>1.1000000000000001</v>
      </c>
      <c r="L282" s="4">
        <v>2</v>
      </c>
      <c r="M282" s="2">
        <v>2.2000000000000002</v>
      </c>
      <c r="N282" s="10"/>
      <c r="O282" s="6"/>
    </row>
    <row r="283" spans="1:15" s="5" customFormat="1" ht="14.45" customHeight="1" x14ac:dyDescent="0.2">
      <c r="A283" s="6">
        <v>134</v>
      </c>
      <c r="B283" s="7" t="s">
        <v>952</v>
      </c>
      <c r="C283" s="6" t="s">
        <v>953</v>
      </c>
      <c r="D283" s="6" t="s">
        <v>954</v>
      </c>
      <c r="E283" s="6" t="s">
        <v>955</v>
      </c>
      <c r="F283" s="6" t="s">
        <v>826</v>
      </c>
      <c r="G283" s="8" t="s">
        <v>23</v>
      </c>
      <c r="H283" s="8">
        <v>18</v>
      </c>
      <c r="I283" s="2" t="s">
        <v>24</v>
      </c>
      <c r="J283" s="2" t="s">
        <v>25</v>
      </c>
      <c r="K283" s="4">
        <v>0.9</v>
      </c>
      <c r="L283" s="4">
        <v>1</v>
      </c>
      <c r="M283" s="2">
        <v>0.9</v>
      </c>
      <c r="N283" s="10" t="s">
        <v>956</v>
      </c>
      <c r="O283" s="6">
        <f>58.16*12+0.72*12+2.45*12+0.21*12+0.07*12</f>
        <v>739.31999999999994</v>
      </c>
    </row>
    <row r="284" spans="1:15" s="5" customFormat="1" ht="25.5" customHeight="1" x14ac:dyDescent="0.2">
      <c r="A284" s="6"/>
      <c r="B284" s="7"/>
      <c r="C284" s="6"/>
      <c r="D284" s="6"/>
      <c r="E284" s="6"/>
      <c r="F284" s="6"/>
      <c r="G284" s="9"/>
      <c r="H284" s="9"/>
      <c r="I284" s="2" t="s">
        <v>27</v>
      </c>
      <c r="J284" s="2" t="s">
        <v>28</v>
      </c>
      <c r="K284" s="4">
        <v>1.1000000000000001</v>
      </c>
      <c r="L284" s="4">
        <v>3</v>
      </c>
      <c r="M284" s="2">
        <v>3.3000000000000003</v>
      </c>
      <c r="N284" s="10"/>
      <c r="O284" s="6"/>
    </row>
    <row r="285" spans="1:15" s="5" customFormat="1" ht="14.45" customHeight="1" x14ac:dyDescent="0.2">
      <c r="A285" s="6">
        <v>135</v>
      </c>
      <c r="B285" s="7" t="s">
        <v>262</v>
      </c>
      <c r="C285" s="6" t="s">
        <v>263</v>
      </c>
      <c r="D285" s="6" t="s">
        <v>264</v>
      </c>
      <c r="E285" s="6" t="s">
        <v>265</v>
      </c>
      <c r="F285" s="6" t="s">
        <v>22</v>
      </c>
      <c r="G285" s="8" t="s">
        <v>23</v>
      </c>
      <c r="H285" s="8">
        <v>27</v>
      </c>
      <c r="I285" s="2" t="s">
        <v>130</v>
      </c>
      <c r="J285" s="2" t="s">
        <v>131</v>
      </c>
      <c r="K285" s="4">
        <v>8</v>
      </c>
      <c r="L285" s="4">
        <v>1</v>
      </c>
      <c r="M285" s="2">
        <v>8</v>
      </c>
      <c r="N285" s="10" t="s">
        <v>266</v>
      </c>
      <c r="O285" s="6">
        <f>28.72*12</f>
        <v>344.64</v>
      </c>
    </row>
    <row r="286" spans="1:15" s="5" customFormat="1" x14ac:dyDescent="0.2">
      <c r="A286" s="6"/>
      <c r="B286" s="7"/>
      <c r="C286" s="6"/>
      <c r="D286" s="6"/>
      <c r="E286" s="6"/>
      <c r="F286" s="6"/>
      <c r="G286" s="9"/>
      <c r="H286" s="9"/>
      <c r="I286" s="2" t="s">
        <v>27</v>
      </c>
      <c r="J286" s="2" t="s">
        <v>28</v>
      </c>
      <c r="K286" s="4">
        <v>1.1000000000000001</v>
      </c>
      <c r="L286" s="4">
        <v>2</v>
      </c>
      <c r="M286" s="2">
        <v>2.2000000000000002</v>
      </c>
      <c r="N286" s="10"/>
      <c r="O286" s="6"/>
    </row>
    <row r="287" spans="1:15" s="5" customFormat="1" ht="14.45" customHeight="1" x14ac:dyDescent="0.2">
      <c r="A287" s="6">
        <v>136</v>
      </c>
      <c r="B287" s="7" t="s">
        <v>267</v>
      </c>
      <c r="C287" s="6" t="s">
        <v>268</v>
      </c>
      <c r="D287" s="6" t="s">
        <v>269</v>
      </c>
      <c r="E287" s="6" t="s">
        <v>270</v>
      </c>
      <c r="F287" s="6" t="s">
        <v>22</v>
      </c>
      <c r="G287" s="8" t="s">
        <v>23</v>
      </c>
      <c r="H287" s="8">
        <v>12</v>
      </c>
      <c r="I287" s="2" t="s">
        <v>24</v>
      </c>
      <c r="J287" s="2" t="s">
        <v>25</v>
      </c>
      <c r="K287" s="4">
        <v>0.9</v>
      </c>
      <c r="L287" s="4">
        <v>1</v>
      </c>
      <c r="M287" s="2">
        <v>0.9</v>
      </c>
      <c r="N287" s="10" t="s">
        <v>271</v>
      </c>
      <c r="O287" s="6">
        <f>17.7*12</f>
        <v>212.39999999999998</v>
      </c>
    </row>
    <row r="288" spans="1:15" s="5" customFormat="1" x14ac:dyDescent="0.2">
      <c r="A288" s="6"/>
      <c r="B288" s="7"/>
      <c r="C288" s="6"/>
      <c r="D288" s="6"/>
      <c r="E288" s="6"/>
      <c r="F288" s="6"/>
      <c r="G288" s="9"/>
      <c r="H288" s="9"/>
      <c r="I288" s="2" t="s">
        <v>27</v>
      </c>
      <c r="J288" s="2" t="s">
        <v>28</v>
      </c>
      <c r="K288" s="4">
        <v>1.1000000000000001</v>
      </c>
      <c r="L288" s="4">
        <v>2</v>
      </c>
      <c r="M288" s="2">
        <v>2.2000000000000002</v>
      </c>
      <c r="N288" s="10"/>
      <c r="O288" s="6"/>
    </row>
    <row r="289" spans="1:15" s="5" customFormat="1" ht="14.45" customHeight="1" x14ac:dyDescent="0.2">
      <c r="A289" s="6">
        <v>137</v>
      </c>
      <c r="B289" s="7" t="s">
        <v>893</v>
      </c>
      <c r="C289" s="6" t="s">
        <v>894</v>
      </c>
      <c r="D289" s="6" t="s">
        <v>895</v>
      </c>
      <c r="E289" s="6" t="s">
        <v>896</v>
      </c>
      <c r="F289" s="6" t="s">
        <v>826</v>
      </c>
      <c r="G289" s="8" t="s">
        <v>23</v>
      </c>
      <c r="H289" s="8">
        <v>24</v>
      </c>
      <c r="I289" s="2" t="s">
        <v>24</v>
      </c>
      <c r="J289" s="2" t="s">
        <v>25</v>
      </c>
      <c r="K289" s="4">
        <v>0.9</v>
      </c>
      <c r="L289" s="4">
        <v>1</v>
      </c>
      <c r="M289" s="2">
        <v>0.9</v>
      </c>
      <c r="N289" s="10" t="s">
        <v>897</v>
      </c>
      <c r="O289" s="6">
        <f>30.83*12+0.29*12+0.07*12+1.9*12</f>
        <v>397.08</v>
      </c>
    </row>
    <row r="290" spans="1:15" s="5" customFormat="1" ht="44.25" customHeight="1" x14ac:dyDescent="0.2">
      <c r="A290" s="6"/>
      <c r="B290" s="7"/>
      <c r="C290" s="6"/>
      <c r="D290" s="6"/>
      <c r="E290" s="6"/>
      <c r="F290" s="6"/>
      <c r="G290" s="9"/>
      <c r="H290" s="9"/>
      <c r="I290" s="2" t="s">
        <v>27</v>
      </c>
      <c r="J290" s="2" t="s">
        <v>28</v>
      </c>
      <c r="K290" s="4">
        <v>1.1000000000000001</v>
      </c>
      <c r="L290" s="4">
        <v>2</v>
      </c>
      <c r="M290" s="2">
        <v>2.2000000000000002</v>
      </c>
      <c r="N290" s="10"/>
      <c r="O290" s="6"/>
    </row>
    <row r="291" spans="1:15" s="5" customFormat="1" ht="14.45" customHeight="1" x14ac:dyDescent="0.2">
      <c r="A291" s="6">
        <v>138</v>
      </c>
      <c r="B291" s="7" t="s">
        <v>948</v>
      </c>
      <c r="C291" s="6" t="s">
        <v>949</v>
      </c>
      <c r="D291" s="6" t="s">
        <v>950</v>
      </c>
      <c r="E291" s="6" t="s">
        <v>59</v>
      </c>
      <c r="F291" s="6" t="s">
        <v>826</v>
      </c>
      <c r="G291" s="8" t="s">
        <v>23</v>
      </c>
      <c r="H291" s="8">
        <v>24</v>
      </c>
      <c r="I291" s="2" t="s">
        <v>24</v>
      </c>
      <c r="J291" s="2" t="s">
        <v>25</v>
      </c>
      <c r="K291" s="4">
        <v>0.9</v>
      </c>
      <c r="L291" s="4">
        <v>1</v>
      </c>
      <c r="M291" s="2">
        <v>0.9</v>
      </c>
      <c r="N291" s="10" t="s">
        <v>951</v>
      </c>
      <c r="O291" s="6">
        <f>90.57*12+0.43*12</f>
        <v>1092</v>
      </c>
    </row>
    <row r="292" spans="1:15" s="5" customFormat="1" x14ac:dyDescent="0.2">
      <c r="A292" s="6"/>
      <c r="B292" s="7"/>
      <c r="C292" s="6"/>
      <c r="D292" s="6"/>
      <c r="E292" s="6"/>
      <c r="F292" s="6"/>
      <c r="G292" s="9"/>
      <c r="H292" s="9"/>
      <c r="I292" s="2" t="s">
        <v>27</v>
      </c>
      <c r="J292" s="2" t="s">
        <v>28</v>
      </c>
      <c r="K292" s="4">
        <v>1.1000000000000001</v>
      </c>
      <c r="L292" s="4">
        <v>2</v>
      </c>
      <c r="M292" s="2">
        <v>2.2000000000000002</v>
      </c>
      <c r="N292" s="10"/>
      <c r="O292" s="6"/>
    </row>
    <row r="293" spans="1:15" s="5" customFormat="1" ht="14.45" customHeight="1" x14ac:dyDescent="0.2">
      <c r="A293" s="6">
        <v>139</v>
      </c>
      <c r="B293" s="7" t="s">
        <v>729</v>
      </c>
      <c r="C293" s="6" t="s">
        <v>730</v>
      </c>
      <c r="D293" s="6" t="s">
        <v>731</v>
      </c>
      <c r="E293" s="6" t="s">
        <v>732</v>
      </c>
      <c r="F293" s="6" t="s">
        <v>22</v>
      </c>
      <c r="G293" s="8" t="s">
        <v>23</v>
      </c>
      <c r="H293" s="8">
        <v>12</v>
      </c>
      <c r="I293" s="2" t="s">
        <v>24</v>
      </c>
      <c r="J293" s="2" t="s">
        <v>25</v>
      </c>
      <c r="K293" s="4">
        <v>0.9</v>
      </c>
      <c r="L293" s="4">
        <v>1</v>
      </c>
      <c r="M293" s="2">
        <v>0.9</v>
      </c>
      <c r="N293" s="10" t="s">
        <v>301</v>
      </c>
      <c r="O293" s="6">
        <f>9.99*12</f>
        <v>119.88</v>
      </c>
    </row>
    <row r="294" spans="1:15" s="5" customFormat="1" x14ac:dyDescent="0.2">
      <c r="A294" s="6"/>
      <c r="B294" s="7"/>
      <c r="C294" s="6"/>
      <c r="D294" s="6"/>
      <c r="E294" s="6"/>
      <c r="F294" s="6"/>
      <c r="G294" s="9"/>
      <c r="H294" s="9"/>
      <c r="I294" s="2" t="s">
        <v>27</v>
      </c>
      <c r="J294" s="2" t="s">
        <v>28</v>
      </c>
      <c r="K294" s="4">
        <v>1.1000000000000001</v>
      </c>
      <c r="L294" s="4">
        <v>1</v>
      </c>
      <c r="M294" s="2">
        <v>1.1000000000000001</v>
      </c>
      <c r="N294" s="10"/>
      <c r="O294" s="6"/>
    </row>
    <row r="295" spans="1:15" s="5" customFormat="1" ht="14.45" customHeight="1" x14ac:dyDescent="0.2">
      <c r="A295" s="6">
        <v>140</v>
      </c>
      <c r="B295" s="7" t="s">
        <v>272</v>
      </c>
      <c r="C295" s="6" t="s">
        <v>273</v>
      </c>
      <c r="D295" s="6" t="s">
        <v>274</v>
      </c>
      <c r="E295" s="6" t="s">
        <v>275</v>
      </c>
      <c r="F295" s="6" t="s">
        <v>22</v>
      </c>
      <c r="G295" s="8" t="s">
        <v>23</v>
      </c>
      <c r="H295" s="8">
        <v>12</v>
      </c>
      <c r="I295" s="2" t="s">
        <v>24</v>
      </c>
      <c r="J295" s="2" t="s">
        <v>25</v>
      </c>
      <c r="K295" s="4">
        <v>0.9</v>
      </c>
      <c r="L295" s="4">
        <v>1</v>
      </c>
      <c r="M295" s="2">
        <v>0.9</v>
      </c>
      <c r="N295" s="10" t="s">
        <v>276</v>
      </c>
      <c r="O295" s="6">
        <f>13.35*12</f>
        <v>160.19999999999999</v>
      </c>
    </row>
    <row r="296" spans="1:15" s="5" customFormat="1" x14ac:dyDescent="0.2">
      <c r="A296" s="6"/>
      <c r="B296" s="7"/>
      <c r="C296" s="6"/>
      <c r="D296" s="6"/>
      <c r="E296" s="6"/>
      <c r="F296" s="6"/>
      <c r="G296" s="9"/>
      <c r="H296" s="9"/>
      <c r="I296" s="2" t="s">
        <v>27</v>
      </c>
      <c r="J296" s="2" t="s">
        <v>28</v>
      </c>
      <c r="K296" s="4">
        <v>1.1000000000000001</v>
      </c>
      <c r="L296" s="4">
        <v>1</v>
      </c>
      <c r="M296" s="2">
        <v>1.1000000000000001</v>
      </c>
      <c r="N296" s="10"/>
      <c r="O296" s="6"/>
    </row>
    <row r="297" spans="1:15" s="5" customFormat="1" ht="25.5" x14ac:dyDescent="0.2">
      <c r="A297" s="2">
        <v>141</v>
      </c>
      <c r="B297" s="3" t="s">
        <v>277</v>
      </c>
      <c r="C297" s="2" t="s">
        <v>278</v>
      </c>
      <c r="D297" s="2" t="s">
        <v>279</v>
      </c>
      <c r="E297" s="2" t="s">
        <v>280</v>
      </c>
      <c r="F297" s="2" t="s">
        <v>22</v>
      </c>
      <c r="G297" s="2" t="s">
        <v>23</v>
      </c>
      <c r="H297" s="2">
        <v>27</v>
      </c>
      <c r="I297" s="2" t="s">
        <v>130</v>
      </c>
      <c r="J297" s="2" t="s">
        <v>131</v>
      </c>
      <c r="K297" s="4">
        <v>8</v>
      </c>
      <c r="L297" s="4">
        <v>1</v>
      </c>
      <c r="M297" s="2">
        <v>8</v>
      </c>
      <c r="N297" s="1" t="s">
        <v>281</v>
      </c>
      <c r="O297" s="2">
        <f>34.17*12+0.35*12</f>
        <v>414.24</v>
      </c>
    </row>
    <row r="298" spans="1:15" s="5" customFormat="1" ht="25.5" x14ac:dyDescent="0.2">
      <c r="A298" s="2">
        <v>142</v>
      </c>
      <c r="B298" s="3" t="s">
        <v>282</v>
      </c>
      <c r="C298" s="2" t="s">
        <v>283</v>
      </c>
      <c r="D298" s="2" t="s">
        <v>284</v>
      </c>
      <c r="E298" s="2" t="s">
        <v>285</v>
      </c>
      <c r="F298" s="2" t="s">
        <v>22</v>
      </c>
      <c r="G298" s="2" t="s">
        <v>74</v>
      </c>
      <c r="H298" s="2">
        <v>15</v>
      </c>
      <c r="I298" s="2" t="s">
        <v>27</v>
      </c>
      <c r="J298" s="2" t="s">
        <v>28</v>
      </c>
      <c r="K298" s="4">
        <v>1.1000000000000001</v>
      </c>
      <c r="L298" s="4">
        <v>1</v>
      </c>
      <c r="M298" s="2">
        <v>1.1000000000000001</v>
      </c>
      <c r="N298" s="1" t="s">
        <v>286</v>
      </c>
      <c r="O298" s="2">
        <f>4.31*12</f>
        <v>51.72</v>
      </c>
    </row>
    <row r="299" spans="1:15" s="5" customFormat="1" ht="14.45" customHeight="1" x14ac:dyDescent="0.2">
      <c r="A299" s="6">
        <v>143</v>
      </c>
      <c r="B299" s="7" t="s">
        <v>287</v>
      </c>
      <c r="C299" s="6" t="s">
        <v>288</v>
      </c>
      <c r="D299" s="6" t="s">
        <v>289</v>
      </c>
      <c r="E299" s="6" t="s">
        <v>290</v>
      </c>
      <c r="F299" s="6" t="s">
        <v>22</v>
      </c>
      <c r="G299" s="8" t="s">
        <v>74</v>
      </c>
      <c r="H299" s="8">
        <v>15</v>
      </c>
      <c r="I299" s="2" t="s">
        <v>24</v>
      </c>
      <c r="J299" s="2" t="s">
        <v>25</v>
      </c>
      <c r="K299" s="4">
        <v>0.9</v>
      </c>
      <c r="L299" s="4">
        <v>1</v>
      </c>
      <c r="M299" s="2">
        <v>0.9</v>
      </c>
      <c r="N299" s="10" t="s">
        <v>291</v>
      </c>
      <c r="O299" s="6">
        <f>25.39*12</f>
        <v>304.68</v>
      </c>
    </row>
    <row r="300" spans="1:15" s="5" customFormat="1" x14ac:dyDescent="0.2">
      <c r="A300" s="6"/>
      <c r="B300" s="7"/>
      <c r="C300" s="6"/>
      <c r="D300" s="6"/>
      <c r="E300" s="6"/>
      <c r="F300" s="6"/>
      <c r="G300" s="9"/>
      <c r="H300" s="9"/>
      <c r="I300" s="2" t="s">
        <v>27</v>
      </c>
      <c r="J300" s="2" t="s">
        <v>28</v>
      </c>
      <c r="K300" s="4">
        <v>1.1000000000000001</v>
      </c>
      <c r="L300" s="4">
        <v>1</v>
      </c>
      <c r="M300" s="2">
        <v>1.1000000000000001</v>
      </c>
      <c r="N300" s="10"/>
      <c r="O300" s="6"/>
    </row>
    <row r="301" spans="1:15" s="5" customFormat="1" ht="14.45" customHeight="1" x14ac:dyDescent="0.2">
      <c r="A301" s="6">
        <v>144</v>
      </c>
      <c r="B301" s="7" t="s">
        <v>631</v>
      </c>
      <c r="C301" s="6" t="s">
        <v>632</v>
      </c>
      <c r="D301" s="6" t="s">
        <v>633</v>
      </c>
      <c r="E301" s="6" t="s">
        <v>634</v>
      </c>
      <c r="F301" s="6" t="s">
        <v>22</v>
      </c>
      <c r="G301" s="8" t="s">
        <v>23</v>
      </c>
      <c r="H301" s="8">
        <v>12</v>
      </c>
      <c r="I301" s="2" t="s">
        <v>24</v>
      </c>
      <c r="J301" s="2" t="s">
        <v>25</v>
      </c>
      <c r="K301" s="4">
        <v>0.9</v>
      </c>
      <c r="L301" s="4">
        <v>1</v>
      </c>
      <c r="M301" s="2">
        <v>0.9</v>
      </c>
      <c r="N301" s="10" t="s">
        <v>635</v>
      </c>
      <c r="O301" s="6">
        <f>20.11*12</f>
        <v>241.32</v>
      </c>
    </row>
    <row r="302" spans="1:15" s="5" customFormat="1" x14ac:dyDescent="0.2">
      <c r="A302" s="6"/>
      <c r="B302" s="7"/>
      <c r="C302" s="6"/>
      <c r="D302" s="6"/>
      <c r="E302" s="6"/>
      <c r="F302" s="6"/>
      <c r="G302" s="9"/>
      <c r="H302" s="9"/>
      <c r="I302" s="2" t="s">
        <v>27</v>
      </c>
      <c r="J302" s="2" t="s">
        <v>28</v>
      </c>
      <c r="K302" s="4">
        <v>1.1000000000000001</v>
      </c>
      <c r="L302" s="4">
        <v>1</v>
      </c>
      <c r="M302" s="2">
        <v>1.1000000000000001</v>
      </c>
      <c r="N302" s="10"/>
      <c r="O302" s="6"/>
    </row>
    <row r="303" spans="1:15" s="5" customFormat="1" ht="14.45" customHeight="1" x14ac:dyDescent="0.2">
      <c r="A303" s="6">
        <v>145</v>
      </c>
      <c r="B303" s="7" t="s">
        <v>292</v>
      </c>
      <c r="C303" s="6" t="s">
        <v>293</v>
      </c>
      <c r="D303" s="6" t="s">
        <v>294</v>
      </c>
      <c r="E303" s="6" t="s">
        <v>295</v>
      </c>
      <c r="F303" s="6" t="s">
        <v>22</v>
      </c>
      <c r="G303" s="8" t="s">
        <v>23</v>
      </c>
      <c r="H303" s="8">
        <v>15</v>
      </c>
      <c r="I303" s="2" t="s">
        <v>130</v>
      </c>
      <c r="J303" s="2" t="s">
        <v>131</v>
      </c>
      <c r="K303" s="4">
        <v>8</v>
      </c>
      <c r="L303" s="4">
        <v>1</v>
      </c>
      <c r="M303" s="2">
        <v>8</v>
      </c>
      <c r="N303" s="10" t="s">
        <v>296</v>
      </c>
      <c r="O303" s="6">
        <f>20.82*12</f>
        <v>249.84</v>
      </c>
    </row>
    <row r="304" spans="1:15" s="5" customFormat="1" x14ac:dyDescent="0.2">
      <c r="A304" s="6"/>
      <c r="B304" s="7"/>
      <c r="C304" s="6"/>
      <c r="D304" s="6"/>
      <c r="E304" s="6"/>
      <c r="F304" s="6"/>
      <c r="G304" s="9"/>
      <c r="H304" s="9"/>
      <c r="I304" s="2" t="s">
        <v>27</v>
      </c>
      <c r="J304" s="2" t="s">
        <v>131</v>
      </c>
      <c r="K304" s="4">
        <v>8</v>
      </c>
      <c r="L304" s="4">
        <v>1</v>
      </c>
      <c r="M304" s="2">
        <v>8</v>
      </c>
      <c r="N304" s="10"/>
      <c r="O304" s="6"/>
    </row>
    <row r="305" spans="1:15" s="5" customFormat="1" ht="25.5" x14ac:dyDescent="0.2">
      <c r="A305" s="2">
        <v>146</v>
      </c>
      <c r="B305" s="3" t="s">
        <v>297</v>
      </c>
      <c r="C305" s="2" t="s">
        <v>298</v>
      </c>
      <c r="D305" s="2" t="s">
        <v>299</v>
      </c>
      <c r="E305" s="2" t="s">
        <v>300</v>
      </c>
      <c r="F305" s="2" t="s">
        <v>22</v>
      </c>
      <c r="G305" s="2" t="s">
        <v>23</v>
      </c>
      <c r="H305" s="2">
        <v>12</v>
      </c>
      <c r="I305" s="2" t="s">
        <v>27</v>
      </c>
      <c r="J305" s="2" t="s">
        <v>28</v>
      </c>
      <c r="K305" s="4">
        <v>1.1000000000000001</v>
      </c>
      <c r="L305" s="4">
        <v>1</v>
      </c>
      <c r="M305" s="2">
        <v>1.1000000000000001</v>
      </c>
      <c r="N305" s="1" t="s">
        <v>301</v>
      </c>
      <c r="O305" s="2">
        <f>9.99*12</f>
        <v>119.88</v>
      </c>
    </row>
    <row r="306" spans="1:15" s="5" customFormat="1" ht="14.45" customHeight="1" x14ac:dyDescent="0.2">
      <c r="A306" s="6">
        <v>147</v>
      </c>
      <c r="B306" s="7" t="s">
        <v>302</v>
      </c>
      <c r="C306" s="6" t="s">
        <v>303</v>
      </c>
      <c r="D306" s="6" t="s">
        <v>304</v>
      </c>
      <c r="E306" s="6" t="s">
        <v>305</v>
      </c>
      <c r="F306" s="6" t="s">
        <v>22</v>
      </c>
      <c r="G306" s="8" t="s">
        <v>23</v>
      </c>
      <c r="H306" s="8">
        <v>12</v>
      </c>
      <c r="I306" s="2" t="s">
        <v>24</v>
      </c>
      <c r="J306" s="2" t="s">
        <v>25</v>
      </c>
      <c r="K306" s="4">
        <v>0.9</v>
      </c>
      <c r="L306" s="4">
        <v>1</v>
      </c>
      <c r="M306" s="2">
        <v>0.9</v>
      </c>
      <c r="N306" s="10" t="s">
        <v>306</v>
      </c>
      <c r="O306" s="6">
        <f>21.48*12</f>
        <v>257.76</v>
      </c>
    </row>
    <row r="307" spans="1:15" s="5" customFormat="1" x14ac:dyDescent="0.2">
      <c r="A307" s="6"/>
      <c r="B307" s="7"/>
      <c r="C307" s="6"/>
      <c r="D307" s="6"/>
      <c r="E307" s="6"/>
      <c r="F307" s="6"/>
      <c r="G307" s="9"/>
      <c r="H307" s="9"/>
      <c r="I307" s="2" t="s">
        <v>27</v>
      </c>
      <c r="J307" s="2" t="s">
        <v>28</v>
      </c>
      <c r="K307" s="4">
        <v>1.1000000000000001</v>
      </c>
      <c r="L307" s="4">
        <v>1</v>
      </c>
      <c r="M307" s="2">
        <v>1.1000000000000001</v>
      </c>
      <c r="N307" s="10"/>
      <c r="O307" s="6"/>
    </row>
    <row r="308" spans="1:15" s="5" customFormat="1" ht="14.45" customHeight="1" x14ac:dyDescent="0.2">
      <c r="A308" s="6">
        <v>148</v>
      </c>
      <c r="B308" s="7" t="s">
        <v>307</v>
      </c>
      <c r="C308" s="6" t="s">
        <v>308</v>
      </c>
      <c r="D308" s="6" t="s">
        <v>309</v>
      </c>
      <c r="E308" s="6" t="s">
        <v>310</v>
      </c>
      <c r="F308" s="6" t="s">
        <v>22</v>
      </c>
      <c r="G308" s="8" t="s">
        <v>23</v>
      </c>
      <c r="H308" s="8">
        <v>12</v>
      </c>
      <c r="I308" s="2" t="s">
        <v>24</v>
      </c>
      <c r="J308" s="2" t="s">
        <v>25</v>
      </c>
      <c r="K308" s="4">
        <v>0.9</v>
      </c>
      <c r="L308" s="4">
        <v>1</v>
      </c>
      <c r="M308" s="2">
        <v>0.9</v>
      </c>
      <c r="N308" s="10" t="s">
        <v>311</v>
      </c>
      <c r="O308" s="6">
        <f>17.46*12+0.14*12</f>
        <v>211.20000000000002</v>
      </c>
    </row>
    <row r="309" spans="1:15" s="5" customFormat="1" x14ac:dyDescent="0.2">
      <c r="A309" s="6"/>
      <c r="B309" s="7"/>
      <c r="C309" s="6"/>
      <c r="D309" s="6"/>
      <c r="E309" s="6"/>
      <c r="F309" s="6"/>
      <c r="G309" s="9"/>
      <c r="H309" s="9"/>
      <c r="I309" s="2" t="s">
        <v>27</v>
      </c>
      <c r="J309" s="2" t="s">
        <v>28</v>
      </c>
      <c r="K309" s="4">
        <v>1.1000000000000001</v>
      </c>
      <c r="L309" s="4">
        <v>1</v>
      </c>
      <c r="M309" s="2">
        <v>1.1000000000000001</v>
      </c>
      <c r="N309" s="10"/>
      <c r="O309" s="6"/>
    </row>
    <row r="310" spans="1:15" s="5" customFormat="1" ht="14.45" customHeight="1" x14ac:dyDescent="0.2">
      <c r="A310" s="6">
        <v>149</v>
      </c>
      <c r="B310" s="7" t="s">
        <v>312</v>
      </c>
      <c r="C310" s="6" t="s">
        <v>313</v>
      </c>
      <c r="D310" s="6" t="s">
        <v>314</v>
      </c>
      <c r="E310" s="6" t="s">
        <v>315</v>
      </c>
      <c r="F310" s="6" t="s">
        <v>22</v>
      </c>
      <c r="G310" s="8" t="s">
        <v>23</v>
      </c>
      <c r="H310" s="8">
        <v>12</v>
      </c>
      <c r="I310" s="2" t="s">
        <v>24</v>
      </c>
      <c r="J310" s="2" t="s">
        <v>25</v>
      </c>
      <c r="K310" s="4">
        <v>0.9</v>
      </c>
      <c r="L310" s="4">
        <v>1</v>
      </c>
      <c r="M310" s="2">
        <v>0.9</v>
      </c>
      <c r="N310" s="10" t="s">
        <v>316</v>
      </c>
      <c r="O310" s="6">
        <f>20.26*12+0.58*12+0.05*12</f>
        <v>250.68</v>
      </c>
    </row>
    <row r="311" spans="1:15" s="5" customFormat="1" x14ac:dyDescent="0.2">
      <c r="A311" s="6"/>
      <c r="B311" s="7"/>
      <c r="C311" s="6"/>
      <c r="D311" s="6"/>
      <c r="E311" s="6"/>
      <c r="F311" s="6"/>
      <c r="G311" s="9"/>
      <c r="H311" s="9"/>
      <c r="I311" s="2" t="s">
        <v>27</v>
      </c>
      <c r="J311" s="2" t="s">
        <v>28</v>
      </c>
      <c r="K311" s="4">
        <v>1.1000000000000001</v>
      </c>
      <c r="L311" s="4">
        <v>1</v>
      </c>
      <c r="M311" s="2">
        <v>1.1000000000000001</v>
      </c>
      <c r="N311" s="10"/>
      <c r="O311" s="6"/>
    </row>
    <row r="312" spans="1:15" s="5" customFormat="1" ht="14.45" customHeight="1" x14ac:dyDescent="0.2">
      <c r="A312" s="6">
        <v>150</v>
      </c>
      <c r="B312" s="7" t="s">
        <v>317</v>
      </c>
      <c r="C312" s="6" t="s">
        <v>318</v>
      </c>
      <c r="D312" s="6" t="s">
        <v>319</v>
      </c>
      <c r="E312" s="6" t="s">
        <v>320</v>
      </c>
      <c r="F312" s="6" t="s">
        <v>22</v>
      </c>
      <c r="G312" s="8" t="s">
        <v>23</v>
      </c>
      <c r="H312" s="8">
        <v>12</v>
      </c>
      <c r="I312" s="2" t="s">
        <v>24</v>
      </c>
      <c r="J312" s="2" t="s">
        <v>25</v>
      </c>
      <c r="K312" s="4">
        <v>0.9</v>
      </c>
      <c r="L312" s="4">
        <v>1</v>
      </c>
      <c r="M312" s="2">
        <v>0.9</v>
      </c>
      <c r="N312" s="10" t="s">
        <v>321</v>
      </c>
      <c r="O312" s="6">
        <f>25.15*12</f>
        <v>301.79999999999995</v>
      </c>
    </row>
    <row r="313" spans="1:15" s="5" customFormat="1" x14ac:dyDescent="0.2">
      <c r="A313" s="6"/>
      <c r="B313" s="7"/>
      <c r="C313" s="6"/>
      <c r="D313" s="6"/>
      <c r="E313" s="6"/>
      <c r="F313" s="6"/>
      <c r="G313" s="9"/>
      <c r="H313" s="9"/>
      <c r="I313" s="2" t="s">
        <v>27</v>
      </c>
      <c r="J313" s="2" t="s">
        <v>28</v>
      </c>
      <c r="K313" s="4">
        <v>1.1000000000000001</v>
      </c>
      <c r="L313" s="4">
        <v>1</v>
      </c>
      <c r="M313" s="2">
        <v>1.1000000000000001</v>
      </c>
      <c r="N313" s="10"/>
      <c r="O313" s="6"/>
    </row>
    <row r="314" spans="1:15" s="5" customFormat="1" ht="14.45" customHeight="1" x14ac:dyDescent="0.2">
      <c r="A314" s="6">
        <v>151</v>
      </c>
      <c r="B314" s="7" t="s">
        <v>322</v>
      </c>
      <c r="C314" s="6" t="s">
        <v>323</v>
      </c>
      <c r="D314" s="6" t="s">
        <v>324</v>
      </c>
      <c r="E314" s="6" t="s">
        <v>325</v>
      </c>
      <c r="F314" s="6" t="s">
        <v>22</v>
      </c>
      <c r="G314" s="8" t="s">
        <v>23</v>
      </c>
      <c r="H314" s="8">
        <v>12</v>
      </c>
      <c r="I314" s="2" t="s">
        <v>24</v>
      </c>
      <c r="J314" s="2" t="s">
        <v>25</v>
      </c>
      <c r="K314" s="4">
        <v>0.9</v>
      </c>
      <c r="L314" s="4">
        <v>1</v>
      </c>
      <c r="M314" s="2">
        <v>0.9</v>
      </c>
      <c r="N314" s="10" t="s">
        <v>326</v>
      </c>
      <c r="O314" s="6">
        <f>17.37*12+0.59*12</f>
        <v>215.52</v>
      </c>
    </row>
    <row r="315" spans="1:15" s="5" customFormat="1" x14ac:dyDescent="0.2">
      <c r="A315" s="6"/>
      <c r="B315" s="7"/>
      <c r="C315" s="6"/>
      <c r="D315" s="6"/>
      <c r="E315" s="6"/>
      <c r="F315" s="6"/>
      <c r="G315" s="9"/>
      <c r="H315" s="9"/>
      <c r="I315" s="2" t="s">
        <v>27</v>
      </c>
      <c r="J315" s="2" t="s">
        <v>28</v>
      </c>
      <c r="K315" s="4">
        <v>1.1000000000000001</v>
      </c>
      <c r="L315" s="4">
        <v>1</v>
      </c>
      <c r="M315" s="2">
        <v>1.1000000000000001</v>
      </c>
      <c r="N315" s="10"/>
      <c r="O315" s="6"/>
    </row>
    <row r="316" spans="1:15" s="5" customFormat="1" ht="25.5" x14ac:dyDescent="0.2">
      <c r="A316" s="2">
        <v>152</v>
      </c>
      <c r="B316" s="3" t="s">
        <v>327</v>
      </c>
      <c r="C316" s="2" t="s">
        <v>328</v>
      </c>
      <c r="D316" s="2" t="s">
        <v>329</v>
      </c>
      <c r="E316" s="2" t="s">
        <v>330</v>
      </c>
      <c r="F316" s="2" t="s">
        <v>22</v>
      </c>
      <c r="G316" s="2" t="s">
        <v>74</v>
      </c>
      <c r="H316" s="2">
        <v>0</v>
      </c>
      <c r="I316" s="2" t="s">
        <v>27</v>
      </c>
      <c r="J316" s="2" t="s">
        <v>28</v>
      </c>
      <c r="K316" s="4">
        <v>1.1000000000000001</v>
      </c>
      <c r="L316" s="4">
        <v>1</v>
      </c>
      <c r="M316" s="2">
        <v>1.1000000000000001</v>
      </c>
      <c r="N316" s="1" t="s">
        <v>291</v>
      </c>
      <c r="O316" s="2">
        <f>25.39*12</f>
        <v>304.68</v>
      </c>
    </row>
    <row r="317" spans="1:15" s="5" customFormat="1" ht="43.5" customHeight="1" x14ac:dyDescent="0.2">
      <c r="A317" s="2">
        <v>153</v>
      </c>
      <c r="B317" s="3" t="s">
        <v>331</v>
      </c>
      <c r="C317" s="2" t="s">
        <v>332</v>
      </c>
      <c r="D317" s="2" t="s">
        <v>333</v>
      </c>
      <c r="E317" s="2" t="s">
        <v>334</v>
      </c>
      <c r="F317" s="2" t="s">
        <v>22</v>
      </c>
      <c r="G317" s="2" t="s">
        <v>74</v>
      </c>
      <c r="H317" s="2">
        <v>15</v>
      </c>
      <c r="I317" s="2" t="s">
        <v>27</v>
      </c>
      <c r="J317" s="2" t="s">
        <v>335</v>
      </c>
      <c r="K317" s="4">
        <v>0.8</v>
      </c>
      <c r="L317" s="4">
        <v>2</v>
      </c>
      <c r="M317" s="2">
        <v>1.6</v>
      </c>
      <c r="N317" s="1" t="s">
        <v>336</v>
      </c>
      <c r="O317" s="2">
        <f>27.23*12+0.07*12</f>
        <v>327.59999999999997</v>
      </c>
    </row>
    <row r="318" spans="1:15" s="5" customFormat="1" ht="14.45" customHeight="1" x14ac:dyDescent="0.2">
      <c r="A318" s="6">
        <v>154</v>
      </c>
      <c r="B318" s="7" t="s">
        <v>774</v>
      </c>
      <c r="C318" s="6" t="s">
        <v>775</v>
      </c>
      <c r="D318" s="6" t="s">
        <v>776</v>
      </c>
      <c r="E318" s="6" t="s">
        <v>777</v>
      </c>
      <c r="F318" s="6" t="s">
        <v>22</v>
      </c>
      <c r="G318" s="8" t="s">
        <v>23</v>
      </c>
      <c r="H318" s="8">
        <v>12</v>
      </c>
      <c r="I318" s="2" t="s">
        <v>24</v>
      </c>
      <c r="J318" s="2" t="s">
        <v>25</v>
      </c>
      <c r="K318" s="4">
        <v>0.9</v>
      </c>
      <c r="L318" s="4">
        <v>1</v>
      </c>
      <c r="M318" s="2">
        <v>0.9</v>
      </c>
      <c r="N318" s="10" t="s">
        <v>778</v>
      </c>
      <c r="O318" s="6">
        <f>32.77*12</f>
        <v>393.24</v>
      </c>
    </row>
    <row r="319" spans="1:15" s="5" customFormat="1" x14ac:dyDescent="0.2">
      <c r="A319" s="6"/>
      <c r="B319" s="7"/>
      <c r="C319" s="6"/>
      <c r="D319" s="6"/>
      <c r="E319" s="6"/>
      <c r="F319" s="6"/>
      <c r="G319" s="9"/>
      <c r="H319" s="9"/>
      <c r="I319" s="2" t="s">
        <v>27</v>
      </c>
      <c r="J319" s="2" t="s">
        <v>28</v>
      </c>
      <c r="K319" s="4">
        <v>1.1000000000000001</v>
      </c>
      <c r="L319" s="4">
        <v>2</v>
      </c>
      <c r="M319" s="2">
        <v>2.2000000000000002</v>
      </c>
      <c r="N319" s="10"/>
      <c r="O319" s="6"/>
    </row>
    <row r="320" spans="1:15" s="5" customFormat="1" ht="14.45" customHeight="1" x14ac:dyDescent="0.2">
      <c r="A320" s="6">
        <v>155</v>
      </c>
      <c r="B320" s="7" t="s">
        <v>779</v>
      </c>
      <c r="C320" s="6" t="s">
        <v>780</v>
      </c>
      <c r="D320" s="6" t="s">
        <v>781</v>
      </c>
      <c r="E320" s="6" t="s">
        <v>782</v>
      </c>
      <c r="F320" s="6" t="s">
        <v>22</v>
      </c>
      <c r="G320" s="8" t="s">
        <v>23</v>
      </c>
      <c r="H320" s="8">
        <v>12</v>
      </c>
      <c r="I320" s="2" t="s">
        <v>24</v>
      </c>
      <c r="J320" s="2" t="s">
        <v>25</v>
      </c>
      <c r="K320" s="4">
        <v>0.9</v>
      </c>
      <c r="L320" s="4">
        <v>1</v>
      </c>
      <c r="M320" s="2">
        <v>0.9</v>
      </c>
      <c r="N320" s="10" t="s">
        <v>783</v>
      </c>
      <c r="O320" s="6">
        <f>25.12*12</f>
        <v>301.44</v>
      </c>
    </row>
    <row r="321" spans="1:15" s="5" customFormat="1" x14ac:dyDescent="0.2">
      <c r="A321" s="6"/>
      <c r="B321" s="7"/>
      <c r="C321" s="6"/>
      <c r="D321" s="6"/>
      <c r="E321" s="6"/>
      <c r="F321" s="6"/>
      <c r="G321" s="9"/>
      <c r="H321" s="9"/>
      <c r="I321" s="2" t="s">
        <v>27</v>
      </c>
      <c r="J321" s="2" t="s">
        <v>28</v>
      </c>
      <c r="K321" s="4">
        <v>1.1000000000000001</v>
      </c>
      <c r="L321" s="4">
        <v>1</v>
      </c>
      <c r="M321" s="2">
        <v>1.1000000000000001</v>
      </c>
      <c r="N321" s="10"/>
      <c r="O321" s="6"/>
    </row>
    <row r="322" spans="1:15" s="5" customFormat="1" ht="14.45" customHeight="1" x14ac:dyDescent="0.2">
      <c r="A322" s="6">
        <v>156</v>
      </c>
      <c r="B322" s="7" t="s">
        <v>898</v>
      </c>
      <c r="C322" s="6" t="s">
        <v>899</v>
      </c>
      <c r="D322" s="6" t="s">
        <v>900</v>
      </c>
      <c r="E322" s="6" t="s">
        <v>901</v>
      </c>
      <c r="F322" s="6" t="s">
        <v>826</v>
      </c>
      <c r="G322" s="8" t="s">
        <v>23</v>
      </c>
      <c r="H322" s="8">
        <v>8</v>
      </c>
      <c r="I322" s="2" t="s">
        <v>130</v>
      </c>
      <c r="J322" s="2" t="s">
        <v>131</v>
      </c>
      <c r="K322" s="4">
        <v>8</v>
      </c>
      <c r="L322" s="4">
        <v>1</v>
      </c>
      <c r="M322" s="2">
        <v>8</v>
      </c>
      <c r="N322" s="10" t="s">
        <v>902</v>
      </c>
      <c r="O322" s="6">
        <f>37.1*12+0.46*12</f>
        <v>450.72</v>
      </c>
    </row>
    <row r="323" spans="1:15" s="5" customFormat="1" x14ac:dyDescent="0.2">
      <c r="A323" s="6"/>
      <c r="B323" s="7"/>
      <c r="C323" s="6"/>
      <c r="D323" s="6"/>
      <c r="E323" s="6"/>
      <c r="F323" s="6"/>
      <c r="G323" s="20"/>
      <c r="H323" s="20"/>
      <c r="I323" s="2" t="s">
        <v>24</v>
      </c>
      <c r="J323" s="2" t="s">
        <v>25</v>
      </c>
      <c r="K323" s="4">
        <v>0.9</v>
      </c>
      <c r="L323" s="4">
        <v>1</v>
      </c>
      <c r="M323" s="2">
        <v>0.9</v>
      </c>
      <c r="N323" s="10"/>
      <c r="O323" s="6"/>
    </row>
    <row r="324" spans="1:15" s="5" customFormat="1" x14ac:dyDescent="0.2">
      <c r="A324" s="6"/>
      <c r="B324" s="7"/>
      <c r="C324" s="6"/>
      <c r="D324" s="6"/>
      <c r="E324" s="6"/>
      <c r="F324" s="6"/>
      <c r="G324" s="9"/>
      <c r="H324" s="9"/>
      <c r="I324" s="2" t="s">
        <v>27</v>
      </c>
      <c r="J324" s="2" t="s">
        <v>28</v>
      </c>
      <c r="K324" s="4">
        <v>1.1000000000000001</v>
      </c>
      <c r="L324" s="4">
        <v>2</v>
      </c>
      <c r="M324" s="2">
        <v>2.2000000000000002</v>
      </c>
      <c r="N324" s="10"/>
      <c r="O324" s="6"/>
    </row>
    <row r="325" spans="1:15" s="5" customFormat="1" ht="14.45" customHeight="1" x14ac:dyDescent="0.2">
      <c r="A325" s="6">
        <v>157</v>
      </c>
      <c r="B325" s="7" t="s">
        <v>784</v>
      </c>
      <c r="C325" s="6" t="s">
        <v>785</v>
      </c>
      <c r="D325" s="6" t="s">
        <v>786</v>
      </c>
      <c r="E325" s="6" t="s">
        <v>787</v>
      </c>
      <c r="F325" s="6" t="s">
        <v>22</v>
      </c>
      <c r="G325" s="8" t="s">
        <v>23</v>
      </c>
      <c r="H325" s="8">
        <v>12</v>
      </c>
      <c r="I325" s="2" t="s">
        <v>24</v>
      </c>
      <c r="J325" s="2" t="s">
        <v>25</v>
      </c>
      <c r="K325" s="4">
        <v>0.9</v>
      </c>
      <c r="L325" s="4">
        <v>1</v>
      </c>
      <c r="M325" s="2">
        <v>0.9</v>
      </c>
      <c r="N325" s="10" t="s">
        <v>788</v>
      </c>
      <c r="O325" s="6">
        <f>10.4*12</f>
        <v>124.80000000000001</v>
      </c>
    </row>
    <row r="326" spans="1:15" s="5" customFormat="1" x14ac:dyDescent="0.2">
      <c r="A326" s="6"/>
      <c r="B326" s="7"/>
      <c r="C326" s="6"/>
      <c r="D326" s="6"/>
      <c r="E326" s="6"/>
      <c r="F326" s="6"/>
      <c r="G326" s="9"/>
      <c r="H326" s="9"/>
      <c r="I326" s="2" t="s">
        <v>27</v>
      </c>
      <c r="J326" s="2" t="s">
        <v>28</v>
      </c>
      <c r="K326" s="4">
        <v>1.1000000000000001</v>
      </c>
      <c r="L326" s="4">
        <v>1</v>
      </c>
      <c r="M326" s="2">
        <v>1.1000000000000001</v>
      </c>
      <c r="N326" s="10"/>
      <c r="O326" s="6"/>
    </row>
    <row r="327" spans="1:15" s="5" customFormat="1" ht="14.45" customHeight="1" x14ac:dyDescent="0.2">
      <c r="A327" s="6">
        <v>158</v>
      </c>
      <c r="B327" s="7" t="s">
        <v>733</v>
      </c>
      <c r="C327" s="6" t="s">
        <v>734</v>
      </c>
      <c r="D327" s="6" t="s">
        <v>735</v>
      </c>
      <c r="E327" s="6" t="s">
        <v>736</v>
      </c>
      <c r="F327" s="6" t="s">
        <v>22</v>
      </c>
      <c r="G327" s="8" t="s">
        <v>23</v>
      </c>
      <c r="H327" s="8">
        <v>12</v>
      </c>
      <c r="I327" s="2" t="s">
        <v>24</v>
      </c>
      <c r="J327" s="2" t="s">
        <v>25</v>
      </c>
      <c r="K327" s="4">
        <v>0.9</v>
      </c>
      <c r="L327" s="4">
        <v>1</v>
      </c>
      <c r="M327" s="2">
        <v>0.9</v>
      </c>
      <c r="N327" s="10" t="s">
        <v>737</v>
      </c>
      <c r="O327" s="6">
        <f>14.54*12</f>
        <v>174.48</v>
      </c>
    </row>
    <row r="328" spans="1:15" s="5" customFormat="1" x14ac:dyDescent="0.2">
      <c r="A328" s="6"/>
      <c r="B328" s="7"/>
      <c r="C328" s="6"/>
      <c r="D328" s="6"/>
      <c r="E328" s="6"/>
      <c r="F328" s="6"/>
      <c r="G328" s="9"/>
      <c r="H328" s="9"/>
      <c r="I328" s="2" t="s">
        <v>27</v>
      </c>
      <c r="J328" s="2" t="s">
        <v>28</v>
      </c>
      <c r="K328" s="4">
        <v>1.1000000000000001</v>
      </c>
      <c r="L328" s="4">
        <v>1</v>
      </c>
      <c r="M328" s="2">
        <v>1.1000000000000001</v>
      </c>
      <c r="N328" s="10"/>
      <c r="O328" s="6"/>
    </row>
    <row r="329" spans="1:15" s="5" customFormat="1" ht="14.45" customHeight="1" x14ac:dyDescent="0.2">
      <c r="A329" s="6">
        <v>159</v>
      </c>
      <c r="B329" s="7" t="s">
        <v>337</v>
      </c>
      <c r="C329" s="6" t="s">
        <v>338</v>
      </c>
      <c r="D329" s="6" t="s">
        <v>339</v>
      </c>
      <c r="E329" s="6" t="s">
        <v>340</v>
      </c>
      <c r="F329" s="6" t="s">
        <v>22</v>
      </c>
      <c r="G329" s="8" t="s">
        <v>23</v>
      </c>
      <c r="H329" s="8">
        <v>12</v>
      </c>
      <c r="I329" s="2" t="s">
        <v>24</v>
      </c>
      <c r="J329" s="2" t="s">
        <v>25</v>
      </c>
      <c r="K329" s="4">
        <v>0.9</v>
      </c>
      <c r="L329" s="4">
        <v>1</v>
      </c>
      <c r="M329" s="2">
        <v>0.9</v>
      </c>
      <c r="N329" s="10" t="s">
        <v>341</v>
      </c>
      <c r="O329" s="6">
        <f>22.35*12</f>
        <v>268.20000000000005</v>
      </c>
    </row>
    <row r="330" spans="1:15" s="5" customFormat="1" x14ac:dyDescent="0.2">
      <c r="A330" s="6"/>
      <c r="B330" s="7"/>
      <c r="C330" s="6"/>
      <c r="D330" s="6"/>
      <c r="E330" s="6"/>
      <c r="F330" s="6"/>
      <c r="G330" s="9"/>
      <c r="H330" s="9"/>
      <c r="I330" s="2" t="s">
        <v>27</v>
      </c>
      <c r="J330" s="2" t="s">
        <v>28</v>
      </c>
      <c r="K330" s="4">
        <v>1.1000000000000001</v>
      </c>
      <c r="L330" s="4">
        <v>1</v>
      </c>
      <c r="M330" s="2">
        <v>1.1000000000000001</v>
      </c>
      <c r="N330" s="10"/>
      <c r="O330" s="6"/>
    </row>
    <row r="331" spans="1:15" s="5" customFormat="1" ht="14.45" customHeight="1" x14ac:dyDescent="0.2">
      <c r="A331" s="6">
        <v>160</v>
      </c>
      <c r="B331" s="7" t="s">
        <v>342</v>
      </c>
      <c r="C331" s="6" t="s">
        <v>343</v>
      </c>
      <c r="D331" s="6" t="s">
        <v>344</v>
      </c>
      <c r="E331" s="6" t="s">
        <v>345</v>
      </c>
      <c r="F331" s="6" t="s">
        <v>22</v>
      </c>
      <c r="G331" s="8" t="s">
        <v>23</v>
      </c>
      <c r="H331" s="8">
        <v>12</v>
      </c>
      <c r="I331" s="2" t="s">
        <v>24</v>
      </c>
      <c r="J331" s="2" t="s">
        <v>25</v>
      </c>
      <c r="K331" s="4">
        <v>0.9</v>
      </c>
      <c r="L331" s="4">
        <v>1</v>
      </c>
      <c r="M331" s="2">
        <v>0.9</v>
      </c>
      <c r="N331" s="10" t="s">
        <v>346</v>
      </c>
      <c r="O331" s="6">
        <f>9.05*12+0.07*12</f>
        <v>109.44000000000001</v>
      </c>
    </row>
    <row r="332" spans="1:15" s="5" customFormat="1" ht="26.25" customHeight="1" x14ac:dyDescent="0.2">
      <c r="A332" s="6"/>
      <c r="B332" s="7"/>
      <c r="C332" s="6"/>
      <c r="D332" s="6"/>
      <c r="E332" s="6"/>
      <c r="F332" s="6"/>
      <c r="G332" s="9"/>
      <c r="H332" s="9"/>
      <c r="I332" s="2" t="s">
        <v>27</v>
      </c>
      <c r="J332" s="2" t="s">
        <v>28</v>
      </c>
      <c r="K332" s="4">
        <v>1.1000000000000001</v>
      </c>
      <c r="L332" s="4">
        <v>1</v>
      </c>
      <c r="M332" s="2">
        <v>1.1000000000000001</v>
      </c>
      <c r="N332" s="10"/>
      <c r="O332" s="6"/>
    </row>
    <row r="333" spans="1:15" s="5" customFormat="1" ht="14.45" customHeight="1" x14ac:dyDescent="0.2">
      <c r="A333" s="6">
        <v>161</v>
      </c>
      <c r="B333" s="7" t="s">
        <v>646</v>
      </c>
      <c r="C333" s="6" t="s">
        <v>647</v>
      </c>
      <c r="D333" s="6" t="s">
        <v>648</v>
      </c>
      <c r="E333" s="6" t="s">
        <v>649</v>
      </c>
      <c r="F333" s="6" t="s">
        <v>22</v>
      </c>
      <c r="G333" s="8" t="s">
        <v>23</v>
      </c>
      <c r="H333" s="8">
        <v>12</v>
      </c>
      <c r="I333" s="2" t="s">
        <v>24</v>
      </c>
      <c r="J333" s="2" t="s">
        <v>25</v>
      </c>
      <c r="K333" s="4">
        <v>0.9</v>
      </c>
      <c r="L333" s="4">
        <v>1</v>
      </c>
      <c r="M333" s="2">
        <v>0.9</v>
      </c>
      <c r="N333" s="10" t="s">
        <v>605</v>
      </c>
      <c r="O333" s="6">
        <f>7.79*12</f>
        <v>93.48</v>
      </c>
    </row>
    <row r="334" spans="1:15" s="5" customFormat="1" x14ac:dyDescent="0.2">
      <c r="A334" s="6"/>
      <c r="B334" s="7"/>
      <c r="C334" s="6"/>
      <c r="D334" s="6"/>
      <c r="E334" s="6"/>
      <c r="F334" s="6"/>
      <c r="G334" s="9"/>
      <c r="H334" s="9"/>
      <c r="I334" s="2" t="s">
        <v>27</v>
      </c>
      <c r="J334" s="2" t="s">
        <v>28</v>
      </c>
      <c r="K334" s="4">
        <v>1.1000000000000001</v>
      </c>
      <c r="L334" s="4">
        <v>1</v>
      </c>
      <c r="M334" s="2">
        <v>1.1000000000000001</v>
      </c>
      <c r="N334" s="10"/>
      <c r="O334" s="6"/>
    </row>
    <row r="335" spans="1:15" s="5" customFormat="1" ht="14.45" customHeight="1" x14ac:dyDescent="0.2">
      <c r="A335" s="6">
        <v>162</v>
      </c>
      <c r="B335" s="7" t="s">
        <v>818</v>
      </c>
      <c r="C335" s="6" t="s">
        <v>819</v>
      </c>
      <c r="D335" s="6" t="s">
        <v>820</v>
      </c>
      <c r="E335" s="6" t="s">
        <v>821</v>
      </c>
      <c r="F335" s="6" t="s">
        <v>22</v>
      </c>
      <c r="G335" s="8" t="s">
        <v>74</v>
      </c>
      <c r="H335" s="8">
        <v>12</v>
      </c>
      <c r="I335" s="2" t="s">
        <v>24</v>
      </c>
      <c r="J335" s="2" t="s">
        <v>25</v>
      </c>
      <c r="K335" s="4">
        <v>0.9</v>
      </c>
      <c r="L335" s="4">
        <v>1</v>
      </c>
      <c r="M335" s="2">
        <v>0.9</v>
      </c>
      <c r="N335" s="10" t="s">
        <v>301</v>
      </c>
      <c r="O335" s="6">
        <f>9.99*12</f>
        <v>119.88</v>
      </c>
    </row>
    <row r="336" spans="1:15" s="5" customFormat="1" x14ac:dyDescent="0.2">
      <c r="A336" s="6"/>
      <c r="B336" s="7"/>
      <c r="C336" s="6"/>
      <c r="D336" s="6"/>
      <c r="E336" s="6"/>
      <c r="F336" s="6"/>
      <c r="G336" s="9"/>
      <c r="H336" s="9"/>
      <c r="I336" s="2" t="s">
        <v>27</v>
      </c>
      <c r="J336" s="2" t="s">
        <v>28</v>
      </c>
      <c r="K336" s="4">
        <v>1.1000000000000001</v>
      </c>
      <c r="L336" s="4">
        <v>1</v>
      </c>
      <c r="M336" s="2">
        <v>1.1000000000000001</v>
      </c>
      <c r="N336" s="10"/>
      <c r="O336" s="6"/>
    </row>
    <row r="337" spans="1:15" s="5" customFormat="1" ht="14.45" customHeight="1" x14ac:dyDescent="0.2">
      <c r="A337" s="6">
        <v>163</v>
      </c>
      <c r="B337" s="7" t="s">
        <v>738</v>
      </c>
      <c r="C337" s="6" t="s">
        <v>739</v>
      </c>
      <c r="D337" s="6" t="s">
        <v>740</v>
      </c>
      <c r="E337" s="6" t="s">
        <v>741</v>
      </c>
      <c r="F337" s="6" t="s">
        <v>22</v>
      </c>
      <c r="G337" s="8" t="s">
        <v>23</v>
      </c>
      <c r="H337" s="8">
        <v>12</v>
      </c>
      <c r="I337" s="2" t="s">
        <v>24</v>
      </c>
      <c r="J337" s="2" t="s">
        <v>25</v>
      </c>
      <c r="K337" s="4">
        <v>0.9</v>
      </c>
      <c r="L337" s="4">
        <v>1</v>
      </c>
      <c r="M337" s="2">
        <v>0.9</v>
      </c>
      <c r="N337" s="10" t="s">
        <v>742</v>
      </c>
      <c r="O337" s="6">
        <f>33.47*12</f>
        <v>401.64</v>
      </c>
    </row>
    <row r="338" spans="1:15" s="5" customFormat="1" x14ac:dyDescent="0.2">
      <c r="A338" s="6"/>
      <c r="B338" s="7"/>
      <c r="C338" s="6"/>
      <c r="D338" s="6"/>
      <c r="E338" s="6"/>
      <c r="F338" s="6"/>
      <c r="G338" s="9"/>
      <c r="H338" s="9"/>
      <c r="I338" s="2" t="s">
        <v>27</v>
      </c>
      <c r="J338" s="2" t="s">
        <v>28</v>
      </c>
      <c r="K338" s="4">
        <v>1.1000000000000001</v>
      </c>
      <c r="L338" s="4">
        <v>1</v>
      </c>
      <c r="M338" s="2">
        <v>1.1000000000000001</v>
      </c>
      <c r="N338" s="10"/>
      <c r="O338" s="6"/>
    </row>
    <row r="339" spans="1:15" s="5" customFormat="1" ht="14.45" customHeight="1" x14ac:dyDescent="0.2">
      <c r="A339" s="6">
        <v>164</v>
      </c>
      <c r="B339" s="7" t="s">
        <v>347</v>
      </c>
      <c r="C339" s="6" t="s">
        <v>348</v>
      </c>
      <c r="D339" s="6" t="s">
        <v>349</v>
      </c>
      <c r="E339" s="6" t="s">
        <v>350</v>
      </c>
      <c r="F339" s="6" t="s">
        <v>22</v>
      </c>
      <c r="G339" s="8" t="s">
        <v>23</v>
      </c>
      <c r="H339" s="8">
        <v>12</v>
      </c>
      <c r="I339" s="2" t="s">
        <v>24</v>
      </c>
      <c r="J339" s="2" t="s">
        <v>25</v>
      </c>
      <c r="K339" s="4">
        <v>0.9</v>
      </c>
      <c r="L339" s="4">
        <v>1</v>
      </c>
      <c r="M339" s="2">
        <v>0.9</v>
      </c>
      <c r="N339" s="10" t="s">
        <v>351</v>
      </c>
      <c r="O339" s="6">
        <f>27.95*12+0.07*12+0.7*12</f>
        <v>344.63999999999993</v>
      </c>
    </row>
    <row r="340" spans="1:15" s="5" customFormat="1" x14ac:dyDescent="0.2">
      <c r="A340" s="6"/>
      <c r="B340" s="7"/>
      <c r="C340" s="6"/>
      <c r="D340" s="6"/>
      <c r="E340" s="6"/>
      <c r="F340" s="6"/>
      <c r="G340" s="9"/>
      <c r="H340" s="9"/>
      <c r="I340" s="2" t="s">
        <v>27</v>
      </c>
      <c r="J340" s="2" t="s">
        <v>28</v>
      </c>
      <c r="K340" s="4">
        <v>1.1000000000000001</v>
      </c>
      <c r="L340" s="4">
        <v>1</v>
      </c>
      <c r="M340" s="2">
        <v>1.1000000000000001</v>
      </c>
      <c r="N340" s="10"/>
      <c r="O340" s="6"/>
    </row>
    <row r="341" spans="1:15" s="5" customFormat="1" ht="14.45" customHeight="1" x14ac:dyDescent="0.2">
      <c r="A341" s="6">
        <v>165</v>
      </c>
      <c r="B341" s="7" t="s">
        <v>352</v>
      </c>
      <c r="C341" s="6" t="s">
        <v>353</v>
      </c>
      <c r="D341" s="6" t="s">
        <v>354</v>
      </c>
      <c r="E341" s="6" t="s">
        <v>355</v>
      </c>
      <c r="F341" s="6" t="s">
        <v>22</v>
      </c>
      <c r="G341" s="8" t="s">
        <v>23</v>
      </c>
      <c r="H341" s="8">
        <v>12</v>
      </c>
      <c r="I341" s="2" t="s">
        <v>24</v>
      </c>
      <c r="J341" s="2" t="s">
        <v>25</v>
      </c>
      <c r="K341" s="4">
        <v>0.9</v>
      </c>
      <c r="L341" s="4">
        <v>1</v>
      </c>
      <c r="M341" s="2">
        <v>0.9</v>
      </c>
      <c r="N341" s="10" t="s">
        <v>356</v>
      </c>
      <c r="O341" s="6">
        <f>21.47*12</f>
        <v>257.64</v>
      </c>
    </row>
    <row r="342" spans="1:15" s="5" customFormat="1" x14ac:dyDescent="0.2">
      <c r="A342" s="6"/>
      <c r="B342" s="7"/>
      <c r="C342" s="6"/>
      <c r="D342" s="6"/>
      <c r="E342" s="6"/>
      <c r="F342" s="6"/>
      <c r="G342" s="9"/>
      <c r="H342" s="9"/>
      <c r="I342" s="2" t="s">
        <v>27</v>
      </c>
      <c r="J342" s="2" t="s">
        <v>28</v>
      </c>
      <c r="K342" s="4">
        <v>1.1000000000000001</v>
      </c>
      <c r="L342" s="4">
        <v>1</v>
      </c>
      <c r="M342" s="2">
        <v>1.1000000000000001</v>
      </c>
      <c r="N342" s="10"/>
      <c r="O342" s="6"/>
    </row>
    <row r="343" spans="1:15" s="5" customFormat="1" ht="14.45" customHeight="1" x14ac:dyDescent="0.2">
      <c r="A343" s="6">
        <v>166</v>
      </c>
      <c r="B343" s="7" t="s">
        <v>357</v>
      </c>
      <c r="C343" s="6" t="s">
        <v>358</v>
      </c>
      <c r="D343" s="6" t="s">
        <v>359</v>
      </c>
      <c r="E343" s="6" t="s">
        <v>360</v>
      </c>
      <c r="F343" s="6" t="s">
        <v>22</v>
      </c>
      <c r="G343" s="8" t="s">
        <v>23</v>
      </c>
      <c r="H343" s="8">
        <v>12</v>
      </c>
      <c r="I343" s="2" t="s">
        <v>24</v>
      </c>
      <c r="J343" s="2" t="s">
        <v>25</v>
      </c>
      <c r="K343" s="4">
        <v>0.9</v>
      </c>
      <c r="L343" s="4">
        <v>1</v>
      </c>
      <c r="M343" s="2">
        <v>0.9</v>
      </c>
      <c r="N343" s="10" t="s">
        <v>361</v>
      </c>
      <c r="O343" s="6">
        <f>18.98*12</f>
        <v>227.76</v>
      </c>
    </row>
    <row r="344" spans="1:15" s="5" customFormat="1" x14ac:dyDescent="0.2">
      <c r="A344" s="6"/>
      <c r="B344" s="7"/>
      <c r="C344" s="6"/>
      <c r="D344" s="6"/>
      <c r="E344" s="6"/>
      <c r="F344" s="6"/>
      <c r="G344" s="9"/>
      <c r="H344" s="9"/>
      <c r="I344" s="2" t="s">
        <v>27</v>
      </c>
      <c r="J344" s="2" t="s">
        <v>28</v>
      </c>
      <c r="K344" s="4">
        <v>1.1000000000000001</v>
      </c>
      <c r="L344" s="4">
        <v>2</v>
      </c>
      <c r="M344" s="2">
        <v>2.2000000000000002</v>
      </c>
      <c r="N344" s="10"/>
      <c r="O344" s="6"/>
    </row>
    <row r="345" spans="1:15" s="5" customFormat="1" ht="25.5" x14ac:dyDescent="0.2">
      <c r="A345" s="2">
        <v>167</v>
      </c>
      <c r="B345" s="3" t="s">
        <v>362</v>
      </c>
      <c r="C345" s="2" t="s">
        <v>363</v>
      </c>
      <c r="D345" s="2" t="s">
        <v>364</v>
      </c>
      <c r="E345" s="2" t="s">
        <v>365</v>
      </c>
      <c r="F345" s="2" t="s">
        <v>22</v>
      </c>
      <c r="G345" s="2" t="s">
        <v>23</v>
      </c>
      <c r="H345" s="2">
        <v>12</v>
      </c>
      <c r="I345" s="2" t="s">
        <v>27</v>
      </c>
      <c r="J345" s="2" t="s">
        <v>28</v>
      </c>
      <c r="K345" s="4">
        <v>1.1000000000000001</v>
      </c>
      <c r="L345" s="4">
        <v>3</v>
      </c>
      <c r="M345" s="2">
        <v>3.3000000000000003</v>
      </c>
      <c r="N345" s="1" t="s">
        <v>366</v>
      </c>
      <c r="O345" s="2">
        <f>29.13*12</f>
        <v>349.56</v>
      </c>
    </row>
    <row r="346" spans="1:15" s="5" customFormat="1" ht="14.45" customHeight="1" x14ac:dyDescent="0.2">
      <c r="A346" s="6">
        <v>168</v>
      </c>
      <c r="B346" s="7" t="s">
        <v>903</v>
      </c>
      <c r="C346" s="6" t="s">
        <v>904</v>
      </c>
      <c r="D346" s="6" t="s">
        <v>905</v>
      </c>
      <c r="E346" s="6" t="s">
        <v>906</v>
      </c>
      <c r="F346" s="6" t="s">
        <v>826</v>
      </c>
      <c r="G346" s="8" t="s">
        <v>23</v>
      </c>
      <c r="H346" s="8">
        <v>7</v>
      </c>
      <c r="I346" s="2" t="s">
        <v>24</v>
      </c>
      <c r="J346" s="2" t="s">
        <v>25</v>
      </c>
      <c r="K346" s="4">
        <v>0.9</v>
      </c>
      <c r="L346" s="4">
        <v>1</v>
      </c>
      <c r="M346" s="2">
        <v>0.9</v>
      </c>
      <c r="N346" s="10" t="s">
        <v>907</v>
      </c>
      <c r="O346" s="6">
        <f>47.81*12</f>
        <v>573.72</v>
      </c>
    </row>
    <row r="347" spans="1:15" s="5" customFormat="1" x14ac:dyDescent="0.2">
      <c r="A347" s="6"/>
      <c r="B347" s="7"/>
      <c r="C347" s="6"/>
      <c r="D347" s="6"/>
      <c r="E347" s="6"/>
      <c r="F347" s="6"/>
      <c r="G347" s="9"/>
      <c r="H347" s="9"/>
      <c r="I347" s="2" t="s">
        <v>27</v>
      </c>
      <c r="J347" s="2" t="s">
        <v>28</v>
      </c>
      <c r="K347" s="4">
        <v>1.1000000000000001</v>
      </c>
      <c r="L347" s="4">
        <v>2</v>
      </c>
      <c r="M347" s="2">
        <v>2.2000000000000002</v>
      </c>
      <c r="N347" s="10"/>
      <c r="O347" s="6"/>
    </row>
    <row r="348" spans="1:15" s="5" customFormat="1" ht="14.45" customHeight="1" x14ac:dyDescent="0.2">
      <c r="A348" s="6">
        <v>169</v>
      </c>
      <c r="B348" s="7" t="s">
        <v>908</v>
      </c>
      <c r="C348" s="6" t="s">
        <v>909</v>
      </c>
      <c r="D348" s="6" t="s">
        <v>910</v>
      </c>
      <c r="E348" s="6" t="s">
        <v>911</v>
      </c>
      <c r="F348" s="6" t="s">
        <v>826</v>
      </c>
      <c r="G348" s="8" t="s">
        <v>23</v>
      </c>
      <c r="H348" s="8">
        <v>9</v>
      </c>
      <c r="I348" s="2" t="s">
        <v>24</v>
      </c>
      <c r="J348" s="2" t="s">
        <v>25</v>
      </c>
      <c r="K348" s="4">
        <v>0.9</v>
      </c>
      <c r="L348" s="4">
        <v>1</v>
      </c>
      <c r="M348" s="2">
        <v>0.9</v>
      </c>
      <c r="N348" s="10" t="s">
        <v>912</v>
      </c>
      <c r="O348" s="6">
        <f>70.92*12+0.97*12+1.42*12+0.1*12</f>
        <v>880.92</v>
      </c>
    </row>
    <row r="349" spans="1:15" s="5" customFormat="1" ht="15.75" customHeight="1" x14ac:dyDescent="0.2">
      <c r="A349" s="6"/>
      <c r="B349" s="7"/>
      <c r="C349" s="6"/>
      <c r="D349" s="6"/>
      <c r="E349" s="6"/>
      <c r="F349" s="6"/>
      <c r="G349" s="9"/>
      <c r="H349" s="9"/>
      <c r="I349" s="2" t="s">
        <v>27</v>
      </c>
      <c r="J349" s="2" t="s">
        <v>28</v>
      </c>
      <c r="K349" s="4">
        <v>1.1000000000000001</v>
      </c>
      <c r="L349" s="4">
        <v>3</v>
      </c>
      <c r="M349" s="2">
        <v>3.3000000000000003</v>
      </c>
      <c r="N349" s="10"/>
      <c r="O349" s="6"/>
    </row>
    <row r="350" spans="1:15" s="5" customFormat="1" ht="14.45" customHeight="1" x14ac:dyDescent="0.2">
      <c r="A350" s="6">
        <v>170</v>
      </c>
      <c r="B350" s="7" t="s">
        <v>367</v>
      </c>
      <c r="C350" s="6" t="s">
        <v>368</v>
      </c>
      <c r="D350" s="6" t="s">
        <v>369</v>
      </c>
      <c r="E350" s="6" t="s">
        <v>370</v>
      </c>
      <c r="F350" s="6" t="s">
        <v>22</v>
      </c>
      <c r="G350" s="8" t="s">
        <v>23</v>
      </c>
      <c r="H350" s="8">
        <v>12</v>
      </c>
      <c r="I350" s="2" t="s">
        <v>24</v>
      </c>
      <c r="J350" s="2" t="s">
        <v>25</v>
      </c>
      <c r="K350" s="4">
        <v>0.9</v>
      </c>
      <c r="L350" s="4">
        <v>1</v>
      </c>
      <c r="M350" s="2">
        <v>0.9</v>
      </c>
      <c r="N350" s="10" t="s">
        <v>371</v>
      </c>
      <c r="O350" s="6">
        <f>20.99*12</f>
        <v>251.88</v>
      </c>
    </row>
    <row r="351" spans="1:15" s="5" customFormat="1" x14ac:dyDescent="0.2">
      <c r="A351" s="6"/>
      <c r="B351" s="7"/>
      <c r="C351" s="6"/>
      <c r="D351" s="6"/>
      <c r="E351" s="6"/>
      <c r="F351" s="6"/>
      <c r="G351" s="9"/>
      <c r="H351" s="9"/>
      <c r="I351" s="2" t="s">
        <v>27</v>
      </c>
      <c r="J351" s="2" t="s">
        <v>28</v>
      </c>
      <c r="K351" s="4">
        <v>1.1000000000000001</v>
      </c>
      <c r="L351" s="4">
        <v>1</v>
      </c>
      <c r="M351" s="2">
        <v>1.1000000000000001</v>
      </c>
      <c r="N351" s="10"/>
      <c r="O351" s="6"/>
    </row>
    <row r="352" spans="1:15" s="5" customFormat="1" ht="14.45" customHeight="1" x14ac:dyDescent="0.2">
      <c r="A352" s="6">
        <v>171</v>
      </c>
      <c r="B352" s="7" t="s">
        <v>699</v>
      </c>
      <c r="C352" s="6" t="s">
        <v>700</v>
      </c>
      <c r="D352" s="6" t="s">
        <v>701</v>
      </c>
      <c r="E352" s="6" t="s">
        <v>702</v>
      </c>
      <c r="F352" s="6" t="s">
        <v>22</v>
      </c>
      <c r="G352" s="8" t="s">
        <v>23</v>
      </c>
      <c r="H352" s="8">
        <v>12</v>
      </c>
      <c r="I352" s="2" t="s">
        <v>24</v>
      </c>
      <c r="J352" s="2" t="s">
        <v>25</v>
      </c>
      <c r="K352" s="4">
        <v>0.9</v>
      </c>
      <c r="L352" s="4">
        <v>1</v>
      </c>
      <c r="M352" s="2">
        <v>0.9</v>
      </c>
      <c r="N352" s="10" t="s">
        <v>703</v>
      </c>
      <c r="O352" s="6">
        <f>25.93*12</f>
        <v>311.15999999999997</v>
      </c>
    </row>
    <row r="353" spans="1:15" s="5" customFormat="1" x14ac:dyDescent="0.2">
      <c r="A353" s="6"/>
      <c r="B353" s="7"/>
      <c r="C353" s="6"/>
      <c r="D353" s="6"/>
      <c r="E353" s="6"/>
      <c r="F353" s="6"/>
      <c r="G353" s="9"/>
      <c r="H353" s="9"/>
      <c r="I353" s="2" t="s">
        <v>27</v>
      </c>
      <c r="J353" s="2" t="s">
        <v>28</v>
      </c>
      <c r="K353" s="4">
        <v>1.1000000000000001</v>
      </c>
      <c r="L353" s="4">
        <v>1</v>
      </c>
      <c r="M353" s="2">
        <v>1.1000000000000001</v>
      </c>
      <c r="N353" s="10"/>
      <c r="O353" s="6"/>
    </row>
    <row r="354" spans="1:15" s="5" customFormat="1" ht="14.45" customHeight="1" x14ac:dyDescent="0.2">
      <c r="A354" s="6">
        <v>172</v>
      </c>
      <c r="B354" s="7" t="s">
        <v>704</v>
      </c>
      <c r="C354" s="6" t="s">
        <v>705</v>
      </c>
      <c r="D354" s="6" t="s">
        <v>706</v>
      </c>
      <c r="E354" s="6" t="s">
        <v>707</v>
      </c>
      <c r="F354" s="6" t="s">
        <v>22</v>
      </c>
      <c r="G354" s="8" t="s">
        <v>23</v>
      </c>
      <c r="H354" s="8">
        <v>12</v>
      </c>
      <c r="I354" s="2" t="s">
        <v>24</v>
      </c>
      <c r="J354" s="2" t="s">
        <v>25</v>
      </c>
      <c r="K354" s="4">
        <v>0.9</v>
      </c>
      <c r="L354" s="4">
        <v>1</v>
      </c>
      <c r="M354" s="2">
        <v>0.9</v>
      </c>
      <c r="N354" s="10" t="s">
        <v>708</v>
      </c>
      <c r="O354" s="6">
        <f>25.38*12</f>
        <v>304.56</v>
      </c>
    </row>
    <row r="355" spans="1:15" s="5" customFormat="1" x14ac:dyDescent="0.2">
      <c r="A355" s="6"/>
      <c r="B355" s="7"/>
      <c r="C355" s="6"/>
      <c r="D355" s="6"/>
      <c r="E355" s="6"/>
      <c r="F355" s="6"/>
      <c r="G355" s="9"/>
      <c r="H355" s="9"/>
      <c r="I355" s="2" t="s">
        <v>27</v>
      </c>
      <c r="J355" s="2" t="s">
        <v>28</v>
      </c>
      <c r="K355" s="4">
        <v>1.1000000000000001</v>
      </c>
      <c r="L355" s="4">
        <v>1</v>
      </c>
      <c r="M355" s="2">
        <v>1.1000000000000001</v>
      </c>
      <c r="N355" s="10"/>
      <c r="O355" s="6"/>
    </row>
    <row r="356" spans="1:15" s="5" customFormat="1" ht="14.45" customHeight="1" x14ac:dyDescent="0.2">
      <c r="A356" s="6">
        <v>173</v>
      </c>
      <c r="B356" s="7" t="s">
        <v>760</v>
      </c>
      <c r="C356" s="6" t="s">
        <v>761</v>
      </c>
      <c r="D356" s="6" t="s">
        <v>762</v>
      </c>
      <c r="E356" s="6" t="s">
        <v>763</v>
      </c>
      <c r="F356" s="6" t="s">
        <v>22</v>
      </c>
      <c r="G356" s="8" t="s">
        <v>23</v>
      </c>
      <c r="H356" s="8">
        <v>12</v>
      </c>
      <c r="I356" s="2" t="s">
        <v>24</v>
      </c>
      <c r="J356" s="2" t="s">
        <v>25</v>
      </c>
      <c r="K356" s="4">
        <v>0.9</v>
      </c>
      <c r="L356" s="4">
        <v>1</v>
      </c>
      <c r="M356" s="2">
        <v>0.9</v>
      </c>
      <c r="N356" s="10" t="s">
        <v>764</v>
      </c>
      <c r="O356" s="6">
        <f>22.66*12</f>
        <v>271.92</v>
      </c>
    </row>
    <row r="357" spans="1:15" s="5" customFormat="1" x14ac:dyDescent="0.2">
      <c r="A357" s="6"/>
      <c r="B357" s="7"/>
      <c r="C357" s="6"/>
      <c r="D357" s="6"/>
      <c r="E357" s="6"/>
      <c r="F357" s="6"/>
      <c r="G357" s="9"/>
      <c r="H357" s="9"/>
      <c r="I357" s="2" t="s">
        <v>27</v>
      </c>
      <c r="J357" s="2" t="s">
        <v>28</v>
      </c>
      <c r="K357" s="4">
        <v>1.1000000000000001</v>
      </c>
      <c r="L357" s="4">
        <v>1</v>
      </c>
      <c r="M357" s="2">
        <v>1.1000000000000001</v>
      </c>
      <c r="N357" s="10"/>
      <c r="O357" s="6"/>
    </row>
    <row r="358" spans="1:15" s="5" customFormat="1" ht="14.45" customHeight="1" x14ac:dyDescent="0.2">
      <c r="A358" s="6">
        <v>174</v>
      </c>
      <c r="B358" s="7" t="s">
        <v>765</v>
      </c>
      <c r="C358" s="6" t="s">
        <v>766</v>
      </c>
      <c r="D358" s="6" t="s">
        <v>767</v>
      </c>
      <c r="E358" s="6" t="s">
        <v>768</v>
      </c>
      <c r="F358" s="6" t="s">
        <v>22</v>
      </c>
      <c r="G358" s="8" t="s">
        <v>23</v>
      </c>
      <c r="H358" s="8">
        <v>12</v>
      </c>
      <c r="I358" s="2" t="s">
        <v>24</v>
      </c>
      <c r="J358" s="2" t="s">
        <v>25</v>
      </c>
      <c r="K358" s="4">
        <v>0.9</v>
      </c>
      <c r="L358" s="4">
        <v>1</v>
      </c>
      <c r="M358" s="2">
        <v>0.9</v>
      </c>
      <c r="N358" s="10" t="s">
        <v>769</v>
      </c>
      <c r="O358" s="6">
        <f>17.36*12</f>
        <v>208.32</v>
      </c>
    </row>
    <row r="359" spans="1:15" s="5" customFormat="1" x14ac:dyDescent="0.2">
      <c r="A359" s="6"/>
      <c r="B359" s="7"/>
      <c r="C359" s="6"/>
      <c r="D359" s="6"/>
      <c r="E359" s="6"/>
      <c r="F359" s="6"/>
      <c r="G359" s="9"/>
      <c r="H359" s="9"/>
      <c r="I359" s="2" t="s">
        <v>27</v>
      </c>
      <c r="J359" s="2" t="s">
        <v>28</v>
      </c>
      <c r="K359" s="4">
        <v>1.1000000000000001</v>
      </c>
      <c r="L359" s="4">
        <v>2</v>
      </c>
      <c r="M359" s="2">
        <v>2.2000000000000002</v>
      </c>
      <c r="N359" s="10"/>
      <c r="O359" s="6"/>
    </row>
    <row r="360" spans="1:15" s="5" customFormat="1" ht="14.45" customHeight="1" x14ac:dyDescent="0.2">
      <c r="A360" s="6">
        <v>175</v>
      </c>
      <c r="B360" s="7" t="s">
        <v>913</v>
      </c>
      <c r="C360" s="6" t="s">
        <v>914</v>
      </c>
      <c r="D360" s="6" t="s">
        <v>915</v>
      </c>
      <c r="E360" s="6" t="s">
        <v>916</v>
      </c>
      <c r="F360" s="6" t="s">
        <v>826</v>
      </c>
      <c r="G360" s="8" t="s">
        <v>23</v>
      </c>
      <c r="H360" s="8">
        <v>30</v>
      </c>
      <c r="I360" s="2" t="s">
        <v>24</v>
      </c>
      <c r="J360" s="2" t="s">
        <v>25</v>
      </c>
      <c r="K360" s="4">
        <v>0.9</v>
      </c>
      <c r="L360" s="4">
        <v>1</v>
      </c>
      <c r="M360" s="2">
        <v>0.9</v>
      </c>
      <c r="N360" s="10" t="s">
        <v>917</v>
      </c>
      <c r="O360" s="6">
        <f>95.42*12</f>
        <v>1145.04</v>
      </c>
    </row>
    <row r="361" spans="1:15" s="5" customFormat="1" x14ac:dyDescent="0.2">
      <c r="A361" s="6"/>
      <c r="B361" s="7"/>
      <c r="C361" s="6"/>
      <c r="D361" s="6"/>
      <c r="E361" s="6"/>
      <c r="F361" s="6"/>
      <c r="G361" s="9"/>
      <c r="H361" s="9"/>
      <c r="I361" s="2" t="s">
        <v>27</v>
      </c>
      <c r="J361" s="2" t="s">
        <v>28</v>
      </c>
      <c r="K361" s="4">
        <v>1.1000000000000001</v>
      </c>
      <c r="L361" s="4">
        <v>5</v>
      </c>
      <c r="M361" s="2">
        <v>5.5</v>
      </c>
      <c r="N361" s="10"/>
      <c r="O361" s="6"/>
    </row>
    <row r="362" spans="1:15" s="5" customFormat="1" ht="14.45" customHeight="1" x14ac:dyDescent="0.2">
      <c r="A362" s="6">
        <v>176</v>
      </c>
      <c r="B362" s="7" t="s">
        <v>918</v>
      </c>
      <c r="C362" s="6" t="s">
        <v>919</v>
      </c>
      <c r="D362" s="6" t="s">
        <v>920</v>
      </c>
      <c r="E362" s="6" t="s">
        <v>921</v>
      </c>
      <c r="F362" s="6" t="s">
        <v>826</v>
      </c>
      <c r="G362" s="8" t="s">
        <v>23</v>
      </c>
      <c r="H362" s="8">
        <v>39</v>
      </c>
      <c r="I362" s="2" t="s">
        <v>24</v>
      </c>
      <c r="J362" s="2" t="s">
        <v>25</v>
      </c>
      <c r="K362" s="4">
        <v>0.9</v>
      </c>
      <c r="L362" s="4">
        <v>1</v>
      </c>
      <c r="M362" s="2">
        <v>0.9</v>
      </c>
      <c r="N362" s="10" t="s">
        <v>922</v>
      </c>
      <c r="O362" s="6">
        <f>89.07*12+0.07*12+1.52*12+1.59*12+1.78*12+2.68*12+0.16*12</f>
        <v>1162.4399999999998</v>
      </c>
    </row>
    <row r="363" spans="1:15" s="5" customFormat="1" ht="37.5" customHeight="1" x14ac:dyDescent="0.2">
      <c r="A363" s="6"/>
      <c r="B363" s="7"/>
      <c r="C363" s="6"/>
      <c r="D363" s="6"/>
      <c r="E363" s="6"/>
      <c r="F363" s="6"/>
      <c r="G363" s="9"/>
      <c r="H363" s="9"/>
      <c r="I363" s="2" t="s">
        <v>27</v>
      </c>
      <c r="J363" s="2" t="s">
        <v>28</v>
      </c>
      <c r="K363" s="4">
        <v>1.1000000000000001</v>
      </c>
      <c r="L363" s="4">
        <v>5</v>
      </c>
      <c r="M363" s="2">
        <v>5.5</v>
      </c>
      <c r="N363" s="10"/>
      <c r="O363" s="6"/>
    </row>
    <row r="364" spans="1:15" s="5" customFormat="1" ht="14.45" customHeight="1" x14ac:dyDescent="0.2">
      <c r="A364" s="6">
        <v>177</v>
      </c>
      <c r="B364" s="7" t="s">
        <v>372</v>
      </c>
      <c r="C364" s="6" t="s">
        <v>373</v>
      </c>
      <c r="D364" s="6" t="s">
        <v>374</v>
      </c>
      <c r="E364" s="6" t="s">
        <v>375</v>
      </c>
      <c r="F364" s="6" t="s">
        <v>22</v>
      </c>
      <c r="G364" s="8" t="s">
        <v>23</v>
      </c>
      <c r="H364" s="8">
        <v>12</v>
      </c>
      <c r="I364" s="2" t="s">
        <v>24</v>
      </c>
      <c r="J364" s="2" t="s">
        <v>25</v>
      </c>
      <c r="K364" s="4">
        <v>0.9</v>
      </c>
      <c r="L364" s="4">
        <v>1</v>
      </c>
      <c r="M364" s="2">
        <v>0.9</v>
      </c>
      <c r="N364" s="10" t="s">
        <v>376</v>
      </c>
      <c r="O364" s="6">
        <f>27.48*12</f>
        <v>329.76</v>
      </c>
    </row>
    <row r="365" spans="1:15" s="5" customFormat="1" x14ac:dyDescent="0.2">
      <c r="A365" s="6"/>
      <c r="B365" s="7"/>
      <c r="C365" s="6"/>
      <c r="D365" s="6"/>
      <c r="E365" s="6"/>
      <c r="F365" s="6"/>
      <c r="G365" s="9"/>
      <c r="H365" s="9"/>
      <c r="I365" s="2" t="s">
        <v>27</v>
      </c>
      <c r="J365" s="2" t="s">
        <v>28</v>
      </c>
      <c r="K365" s="4">
        <v>1.1000000000000001</v>
      </c>
      <c r="L365" s="4">
        <v>1</v>
      </c>
      <c r="M365" s="2">
        <v>1.1000000000000001</v>
      </c>
      <c r="N365" s="10"/>
      <c r="O365" s="6"/>
    </row>
    <row r="366" spans="1:15" s="5" customFormat="1" ht="14.45" customHeight="1" x14ac:dyDescent="0.2">
      <c r="A366" s="6">
        <v>178</v>
      </c>
      <c r="B366" s="7" t="s">
        <v>789</v>
      </c>
      <c r="C366" s="6" t="s">
        <v>790</v>
      </c>
      <c r="D366" s="6" t="s">
        <v>791</v>
      </c>
      <c r="E366" s="6" t="s">
        <v>792</v>
      </c>
      <c r="F366" s="6" t="s">
        <v>22</v>
      </c>
      <c r="G366" s="8" t="s">
        <v>23</v>
      </c>
      <c r="H366" s="8">
        <v>12</v>
      </c>
      <c r="I366" s="2" t="s">
        <v>24</v>
      </c>
      <c r="J366" s="2" t="s">
        <v>25</v>
      </c>
      <c r="K366" s="4">
        <v>0.9</v>
      </c>
      <c r="L366" s="4">
        <v>1</v>
      </c>
      <c r="M366" s="2">
        <v>0.9</v>
      </c>
      <c r="N366" s="10" t="s">
        <v>793</v>
      </c>
      <c r="O366" s="6">
        <f>25.96*12</f>
        <v>311.52</v>
      </c>
    </row>
    <row r="367" spans="1:15" s="5" customFormat="1" x14ac:dyDescent="0.2">
      <c r="A367" s="6"/>
      <c r="B367" s="7"/>
      <c r="C367" s="6"/>
      <c r="D367" s="6"/>
      <c r="E367" s="6"/>
      <c r="F367" s="6"/>
      <c r="G367" s="9"/>
      <c r="H367" s="9"/>
      <c r="I367" s="2" t="s">
        <v>27</v>
      </c>
      <c r="J367" s="2" t="s">
        <v>28</v>
      </c>
      <c r="K367" s="4">
        <v>1.1000000000000001</v>
      </c>
      <c r="L367" s="4">
        <v>1</v>
      </c>
      <c r="M367" s="2">
        <v>1.1000000000000001</v>
      </c>
      <c r="N367" s="10"/>
      <c r="O367" s="6"/>
    </row>
    <row r="368" spans="1:15" s="5" customFormat="1" ht="14.45" customHeight="1" x14ac:dyDescent="0.2">
      <c r="A368" s="6">
        <v>179</v>
      </c>
      <c r="B368" s="7" t="s">
        <v>377</v>
      </c>
      <c r="C368" s="6" t="s">
        <v>378</v>
      </c>
      <c r="D368" s="6" t="s">
        <v>379</v>
      </c>
      <c r="E368" s="6" t="s">
        <v>380</v>
      </c>
      <c r="F368" s="6" t="s">
        <v>22</v>
      </c>
      <c r="G368" s="8" t="s">
        <v>23</v>
      </c>
      <c r="H368" s="8">
        <v>15</v>
      </c>
      <c r="I368" s="2" t="s">
        <v>24</v>
      </c>
      <c r="J368" s="2" t="s">
        <v>25</v>
      </c>
      <c r="K368" s="4">
        <v>0.9</v>
      </c>
      <c r="L368" s="4">
        <v>1</v>
      </c>
      <c r="M368" s="2">
        <v>0.9</v>
      </c>
      <c r="N368" s="10" t="s">
        <v>381</v>
      </c>
      <c r="O368" s="6">
        <f>31.99*12</f>
        <v>383.88</v>
      </c>
    </row>
    <row r="369" spans="1:15" s="5" customFormat="1" x14ac:dyDescent="0.2">
      <c r="A369" s="6"/>
      <c r="B369" s="7"/>
      <c r="C369" s="6"/>
      <c r="D369" s="6"/>
      <c r="E369" s="6"/>
      <c r="F369" s="6"/>
      <c r="G369" s="9"/>
      <c r="H369" s="9"/>
      <c r="I369" s="2" t="s">
        <v>27</v>
      </c>
      <c r="J369" s="2" t="s">
        <v>28</v>
      </c>
      <c r="K369" s="4">
        <v>1.1000000000000001</v>
      </c>
      <c r="L369" s="4">
        <v>2</v>
      </c>
      <c r="M369" s="2">
        <v>2.2000000000000002</v>
      </c>
      <c r="N369" s="10"/>
      <c r="O369" s="6"/>
    </row>
    <row r="370" spans="1:15" s="5" customFormat="1" ht="14.45" customHeight="1" x14ac:dyDescent="0.2">
      <c r="A370" s="6">
        <v>180</v>
      </c>
      <c r="B370" s="7" t="s">
        <v>665</v>
      </c>
      <c r="C370" s="6" t="s">
        <v>666</v>
      </c>
      <c r="D370" s="6" t="s">
        <v>667</v>
      </c>
      <c r="E370" s="6" t="s">
        <v>668</v>
      </c>
      <c r="F370" s="6" t="s">
        <v>22</v>
      </c>
      <c r="G370" s="8" t="s">
        <v>74</v>
      </c>
      <c r="H370" s="8">
        <v>27</v>
      </c>
      <c r="I370" s="2" t="s">
        <v>130</v>
      </c>
      <c r="J370" s="2" t="s">
        <v>131</v>
      </c>
      <c r="K370" s="4">
        <v>8</v>
      </c>
      <c r="L370" s="4">
        <v>1</v>
      </c>
      <c r="M370" s="2">
        <v>8</v>
      </c>
      <c r="N370" s="10" t="s">
        <v>669</v>
      </c>
      <c r="O370" s="6">
        <f>27.67*12</f>
        <v>332.04</v>
      </c>
    </row>
    <row r="371" spans="1:15" s="5" customFormat="1" x14ac:dyDescent="0.2">
      <c r="A371" s="6"/>
      <c r="B371" s="7"/>
      <c r="C371" s="6"/>
      <c r="D371" s="6"/>
      <c r="E371" s="6"/>
      <c r="F371" s="6"/>
      <c r="G371" s="9"/>
      <c r="H371" s="9"/>
      <c r="I371" s="2" t="s">
        <v>27</v>
      </c>
      <c r="J371" s="2" t="s">
        <v>28</v>
      </c>
      <c r="K371" s="4">
        <v>1.1000000000000001</v>
      </c>
      <c r="L371" s="4">
        <v>2</v>
      </c>
      <c r="M371" s="2">
        <v>2.2000000000000002</v>
      </c>
      <c r="N371" s="10"/>
      <c r="O371" s="6"/>
    </row>
    <row r="372" spans="1:15" s="5" customFormat="1" ht="25.5" x14ac:dyDescent="0.2">
      <c r="A372" s="2">
        <v>181</v>
      </c>
      <c r="B372" s="3" t="s">
        <v>670</v>
      </c>
      <c r="C372" s="2" t="s">
        <v>671</v>
      </c>
      <c r="D372" s="2" t="s">
        <v>170</v>
      </c>
      <c r="E372" s="2" t="s">
        <v>672</v>
      </c>
      <c r="F372" s="2" t="s">
        <v>22</v>
      </c>
      <c r="G372" s="2" t="s">
        <v>23</v>
      </c>
      <c r="H372" s="2">
        <v>12</v>
      </c>
      <c r="I372" s="2" t="s">
        <v>27</v>
      </c>
      <c r="J372" s="2" t="s">
        <v>28</v>
      </c>
      <c r="K372" s="4">
        <v>1.1000000000000001</v>
      </c>
      <c r="L372" s="4">
        <v>2</v>
      </c>
      <c r="M372" s="2">
        <v>2.2000000000000002</v>
      </c>
      <c r="N372" s="1" t="s">
        <v>673</v>
      </c>
      <c r="O372" s="2">
        <f>23.85*12+0.14*12</f>
        <v>287.88000000000005</v>
      </c>
    </row>
    <row r="373" spans="1:15" s="5" customFormat="1" ht="14.45" customHeight="1" x14ac:dyDescent="0.2">
      <c r="A373" s="6">
        <v>182</v>
      </c>
      <c r="B373" s="7" t="s">
        <v>957</v>
      </c>
      <c r="C373" s="6" t="s">
        <v>958</v>
      </c>
      <c r="D373" s="6" t="s">
        <v>959</v>
      </c>
      <c r="E373" s="6" t="s">
        <v>960</v>
      </c>
      <c r="F373" s="6" t="s">
        <v>826</v>
      </c>
      <c r="G373" s="8" t="s">
        <v>23</v>
      </c>
      <c r="H373" s="8">
        <v>26</v>
      </c>
      <c r="I373" s="2" t="s">
        <v>24</v>
      </c>
      <c r="J373" s="2" t="s">
        <v>25</v>
      </c>
      <c r="K373" s="4">
        <v>0.9</v>
      </c>
      <c r="L373" s="4">
        <v>1</v>
      </c>
      <c r="M373" s="2">
        <v>0.9</v>
      </c>
      <c r="N373" s="10" t="s">
        <v>961</v>
      </c>
      <c r="O373" s="6">
        <f>91.49*12+1.43*12+3.36*12</f>
        <v>1155.3599999999999</v>
      </c>
    </row>
    <row r="374" spans="1:15" s="5" customFormat="1" ht="15.75" customHeight="1" x14ac:dyDescent="0.2">
      <c r="A374" s="6"/>
      <c r="B374" s="7"/>
      <c r="C374" s="6"/>
      <c r="D374" s="6"/>
      <c r="E374" s="6"/>
      <c r="F374" s="6"/>
      <c r="G374" s="9"/>
      <c r="H374" s="9"/>
      <c r="I374" s="2" t="s">
        <v>27</v>
      </c>
      <c r="J374" s="2" t="s">
        <v>28</v>
      </c>
      <c r="K374" s="4">
        <v>1.1000000000000001</v>
      </c>
      <c r="L374" s="4">
        <v>6</v>
      </c>
      <c r="M374" s="2">
        <v>6.6000000000000005</v>
      </c>
      <c r="N374" s="10"/>
      <c r="O374" s="6"/>
    </row>
    <row r="375" spans="1:15" s="5" customFormat="1" ht="14.45" customHeight="1" x14ac:dyDescent="0.2">
      <c r="A375" s="6">
        <v>183</v>
      </c>
      <c r="B375" s="7" t="s">
        <v>962</v>
      </c>
      <c r="C375" s="6" t="s">
        <v>963</v>
      </c>
      <c r="D375" s="6" t="s">
        <v>964</v>
      </c>
      <c r="E375" s="6" t="s">
        <v>965</v>
      </c>
      <c r="F375" s="6" t="s">
        <v>826</v>
      </c>
      <c r="G375" s="8" t="s">
        <v>23</v>
      </c>
      <c r="H375" s="8">
        <v>15</v>
      </c>
      <c r="I375" s="2" t="s">
        <v>24</v>
      </c>
      <c r="J375" s="2" t="s">
        <v>25</v>
      </c>
      <c r="K375" s="4">
        <v>0.9</v>
      </c>
      <c r="L375" s="4">
        <v>1</v>
      </c>
      <c r="M375" s="2">
        <v>0.9</v>
      </c>
      <c r="N375" s="10" t="s">
        <v>966</v>
      </c>
      <c r="O375" s="6">
        <f>45.57*12+0.93*12</f>
        <v>558</v>
      </c>
    </row>
    <row r="376" spans="1:15" s="5" customFormat="1" x14ac:dyDescent="0.2">
      <c r="A376" s="6"/>
      <c r="B376" s="7"/>
      <c r="C376" s="6"/>
      <c r="D376" s="6"/>
      <c r="E376" s="6"/>
      <c r="F376" s="6"/>
      <c r="G376" s="9"/>
      <c r="H376" s="9"/>
      <c r="I376" s="2" t="s">
        <v>27</v>
      </c>
      <c r="J376" s="2" t="s">
        <v>28</v>
      </c>
      <c r="K376" s="4">
        <v>1.1000000000000001</v>
      </c>
      <c r="L376" s="4">
        <v>3</v>
      </c>
      <c r="M376" s="2">
        <v>3.3000000000000003</v>
      </c>
      <c r="N376" s="10"/>
      <c r="O376" s="6"/>
    </row>
    <row r="377" spans="1:15" s="5" customFormat="1" ht="14.45" customHeight="1" x14ac:dyDescent="0.2">
      <c r="A377" s="6">
        <v>184</v>
      </c>
      <c r="B377" s="7" t="s">
        <v>967</v>
      </c>
      <c r="C377" s="6" t="s">
        <v>968</v>
      </c>
      <c r="D377" s="6" t="s">
        <v>969</v>
      </c>
      <c r="E377" s="6" t="s">
        <v>970</v>
      </c>
      <c r="F377" s="6" t="s">
        <v>826</v>
      </c>
      <c r="G377" s="8" t="s">
        <v>23</v>
      </c>
      <c r="H377" s="8">
        <v>15</v>
      </c>
      <c r="I377" s="2" t="s">
        <v>24</v>
      </c>
      <c r="J377" s="2" t="s">
        <v>25</v>
      </c>
      <c r="K377" s="4">
        <v>0.9</v>
      </c>
      <c r="L377" s="4">
        <v>1</v>
      </c>
      <c r="M377" s="2">
        <v>0.9</v>
      </c>
      <c r="N377" s="10" t="s">
        <v>971</v>
      </c>
      <c r="O377" s="6">
        <f>33.47*12</f>
        <v>401.64</v>
      </c>
    </row>
    <row r="378" spans="1:15" s="5" customFormat="1" x14ac:dyDescent="0.2">
      <c r="A378" s="6"/>
      <c r="B378" s="7"/>
      <c r="C378" s="6"/>
      <c r="D378" s="6"/>
      <c r="E378" s="6"/>
      <c r="F378" s="6"/>
      <c r="G378" s="9"/>
      <c r="H378" s="9"/>
      <c r="I378" s="2" t="s">
        <v>27</v>
      </c>
      <c r="J378" s="2" t="s">
        <v>28</v>
      </c>
      <c r="K378" s="4">
        <v>1.1000000000000001</v>
      </c>
      <c r="L378" s="4">
        <v>2</v>
      </c>
      <c r="M378" s="2">
        <v>2.2000000000000002</v>
      </c>
      <c r="N378" s="10"/>
      <c r="O378" s="6"/>
    </row>
    <row r="379" spans="1:15" s="5" customFormat="1" ht="14.45" customHeight="1" x14ac:dyDescent="0.2">
      <c r="A379" s="6">
        <v>185</v>
      </c>
      <c r="B379" s="7" t="s">
        <v>49</v>
      </c>
      <c r="C379" s="6" t="s">
        <v>50</v>
      </c>
      <c r="D379" s="6" t="s">
        <v>51</v>
      </c>
      <c r="E379" s="6" t="s">
        <v>52</v>
      </c>
      <c r="F379" s="6" t="s">
        <v>22</v>
      </c>
      <c r="G379" s="8" t="s">
        <v>23</v>
      </c>
      <c r="H379" s="8">
        <v>12</v>
      </c>
      <c r="I379" s="2" t="s">
        <v>24</v>
      </c>
      <c r="J379" s="2" t="s">
        <v>25</v>
      </c>
      <c r="K379" s="4">
        <v>0.9</v>
      </c>
      <c r="L379" s="4">
        <v>1</v>
      </c>
      <c r="M379" s="2">
        <v>0.9</v>
      </c>
      <c r="N379" s="10" t="s">
        <v>53</v>
      </c>
      <c r="O379" s="6">
        <f>17.32*12</f>
        <v>207.84</v>
      </c>
    </row>
    <row r="380" spans="1:15" s="5" customFormat="1" x14ac:dyDescent="0.2">
      <c r="A380" s="6"/>
      <c r="B380" s="7"/>
      <c r="C380" s="6"/>
      <c r="D380" s="6"/>
      <c r="E380" s="6"/>
      <c r="F380" s="6"/>
      <c r="G380" s="9"/>
      <c r="H380" s="9"/>
      <c r="I380" s="2" t="s">
        <v>27</v>
      </c>
      <c r="J380" s="2" t="s">
        <v>28</v>
      </c>
      <c r="K380" s="4">
        <v>1.1000000000000001</v>
      </c>
      <c r="L380" s="4">
        <v>2</v>
      </c>
      <c r="M380" s="2">
        <v>2.2000000000000002</v>
      </c>
      <c r="N380" s="10"/>
      <c r="O380" s="6"/>
    </row>
    <row r="381" spans="1:15" s="5" customFormat="1" ht="14.45" customHeight="1" x14ac:dyDescent="0.2">
      <c r="A381" s="6">
        <v>186</v>
      </c>
      <c r="B381" s="7" t="s">
        <v>382</v>
      </c>
      <c r="C381" s="6" t="s">
        <v>383</v>
      </c>
      <c r="D381" s="6" t="s">
        <v>384</v>
      </c>
      <c r="E381" s="6" t="s">
        <v>385</v>
      </c>
      <c r="F381" s="6" t="s">
        <v>22</v>
      </c>
      <c r="G381" s="8" t="s">
        <v>23</v>
      </c>
      <c r="H381" s="8">
        <v>15</v>
      </c>
      <c r="I381" s="2" t="s">
        <v>24</v>
      </c>
      <c r="J381" s="2" t="s">
        <v>25</v>
      </c>
      <c r="K381" s="4">
        <v>0.9</v>
      </c>
      <c r="L381" s="4">
        <v>1</v>
      </c>
      <c r="M381" s="2">
        <v>0.9</v>
      </c>
      <c r="N381" s="10" t="s">
        <v>386</v>
      </c>
      <c r="O381" s="6">
        <f>38.46*12</f>
        <v>461.52</v>
      </c>
    </row>
    <row r="382" spans="1:15" s="5" customFormat="1" x14ac:dyDescent="0.2">
      <c r="A382" s="6"/>
      <c r="B382" s="7"/>
      <c r="C382" s="6"/>
      <c r="D382" s="6"/>
      <c r="E382" s="6"/>
      <c r="F382" s="6"/>
      <c r="G382" s="9"/>
      <c r="H382" s="9"/>
      <c r="I382" s="2" t="s">
        <v>27</v>
      </c>
      <c r="J382" s="2" t="s">
        <v>28</v>
      </c>
      <c r="K382" s="4">
        <v>1.1000000000000001</v>
      </c>
      <c r="L382" s="4">
        <v>2</v>
      </c>
      <c r="M382" s="2">
        <v>2.2000000000000002</v>
      </c>
      <c r="N382" s="10"/>
      <c r="O382" s="6"/>
    </row>
    <row r="383" spans="1:15" s="5" customFormat="1" ht="14.45" customHeight="1" x14ac:dyDescent="0.2">
      <c r="A383" s="6">
        <v>187</v>
      </c>
      <c r="B383" s="7" t="s">
        <v>387</v>
      </c>
      <c r="C383" s="6" t="s">
        <v>388</v>
      </c>
      <c r="D383" s="6" t="s">
        <v>389</v>
      </c>
      <c r="E383" s="6" t="s">
        <v>390</v>
      </c>
      <c r="F383" s="6" t="s">
        <v>22</v>
      </c>
      <c r="G383" s="8" t="s">
        <v>23</v>
      </c>
      <c r="H383" s="8">
        <v>12</v>
      </c>
      <c r="I383" s="2" t="s">
        <v>24</v>
      </c>
      <c r="J383" s="2" t="s">
        <v>25</v>
      </c>
      <c r="K383" s="4">
        <v>0.9</v>
      </c>
      <c r="L383" s="4">
        <v>1</v>
      </c>
      <c r="M383" s="2">
        <v>0.9</v>
      </c>
      <c r="N383" s="10" t="s">
        <v>391</v>
      </c>
      <c r="O383" s="6">
        <f>17.37*12+0.29*12+2.95*12</f>
        <v>247.32</v>
      </c>
    </row>
    <row r="384" spans="1:15" s="5" customFormat="1" ht="12.75" customHeight="1" x14ac:dyDescent="0.2">
      <c r="A384" s="6"/>
      <c r="B384" s="7"/>
      <c r="C384" s="6"/>
      <c r="D384" s="6"/>
      <c r="E384" s="6"/>
      <c r="F384" s="6"/>
      <c r="G384" s="9"/>
      <c r="H384" s="9"/>
      <c r="I384" s="2" t="s">
        <v>27</v>
      </c>
      <c r="J384" s="2" t="s">
        <v>28</v>
      </c>
      <c r="K384" s="4">
        <v>1.1000000000000001</v>
      </c>
      <c r="L384" s="4">
        <v>1</v>
      </c>
      <c r="M384" s="2">
        <v>1.1000000000000001</v>
      </c>
      <c r="N384" s="10"/>
      <c r="O384" s="6"/>
    </row>
    <row r="385" spans="1:15" s="5" customFormat="1" ht="14.45" customHeight="1" x14ac:dyDescent="0.2">
      <c r="A385" s="6">
        <v>188</v>
      </c>
      <c r="B385" s="7" t="s">
        <v>392</v>
      </c>
      <c r="C385" s="6" t="s">
        <v>393</v>
      </c>
      <c r="D385" s="6" t="s">
        <v>394</v>
      </c>
      <c r="E385" s="6" t="s">
        <v>395</v>
      </c>
      <c r="F385" s="6" t="s">
        <v>22</v>
      </c>
      <c r="G385" s="8" t="s">
        <v>23</v>
      </c>
      <c r="H385" s="8">
        <v>12</v>
      </c>
      <c r="I385" s="2" t="s">
        <v>24</v>
      </c>
      <c r="J385" s="2" t="s">
        <v>25</v>
      </c>
      <c r="K385" s="4">
        <v>0.9</v>
      </c>
      <c r="L385" s="4">
        <v>1</v>
      </c>
      <c r="M385" s="2">
        <v>0.9</v>
      </c>
      <c r="N385" s="10" t="s">
        <v>396</v>
      </c>
      <c r="O385" s="6">
        <f>28.78*12</f>
        <v>345.36</v>
      </c>
    </row>
    <row r="386" spans="1:15" s="5" customFormat="1" x14ac:dyDescent="0.2">
      <c r="A386" s="6"/>
      <c r="B386" s="7"/>
      <c r="C386" s="6"/>
      <c r="D386" s="6"/>
      <c r="E386" s="6"/>
      <c r="F386" s="6"/>
      <c r="G386" s="9"/>
      <c r="H386" s="9"/>
      <c r="I386" s="2" t="s">
        <v>27</v>
      </c>
      <c r="J386" s="2" t="s">
        <v>28</v>
      </c>
      <c r="K386" s="4">
        <v>1.1000000000000001</v>
      </c>
      <c r="L386" s="4">
        <v>2</v>
      </c>
      <c r="M386" s="2">
        <v>2.2000000000000002</v>
      </c>
      <c r="N386" s="10"/>
      <c r="O386" s="6"/>
    </row>
    <row r="387" spans="1:15" s="5" customFormat="1" ht="14.45" customHeight="1" x14ac:dyDescent="0.2">
      <c r="A387" s="6">
        <v>189</v>
      </c>
      <c r="B387" s="7" t="s">
        <v>397</v>
      </c>
      <c r="C387" s="6" t="s">
        <v>398</v>
      </c>
      <c r="D387" s="6" t="s">
        <v>399</v>
      </c>
      <c r="E387" s="6" t="s">
        <v>400</v>
      </c>
      <c r="F387" s="6" t="s">
        <v>22</v>
      </c>
      <c r="G387" s="8" t="s">
        <v>23</v>
      </c>
      <c r="H387" s="8">
        <v>12</v>
      </c>
      <c r="I387" s="2" t="s">
        <v>24</v>
      </c>
      <c r="J387" s="2" t="s">
        <v>25</v>
      </c>
      <c r="K387" s="4">
        <v>0.9</v>
      </c>
      <c r="L387" s="4">
        <v>1</v>
      </c>
      <c r="M387" s="2">
        <v>0.9</v>
      </c>
      <c r="N387" s="10" t="s">
        <v>401</v>
      </c>
      <c r="O387" s="6">
        <f>28.97*12</f>
        <v>347.64</v>
      </c>
    </row>
    <row r="388" spans="1:15" s="5" customFormat="1" x14ac:dyDescent="0.2">
      <c r="A388" s="6"/>
      <c r="B388" s="7"/>
      <c r="C388" s="6"/>
      <c r="D388" s="6"/>
      <c r="E388" s="6"/>
      <c r="F388" s="6"/>
      <c r="G388" s="9"/>
      <c r="H388" s="9"/>
      <c r="I388" s="2" t="s">
        <v>27</v>
      </c>
      <c r="J388" s="2" t="s">
        <v>28</v>
      </c>
      <c r="K388" s="4">
        <v>1.1000000000000001</v>
      </c>
      <c r="L388" s="4">
        <v>2</v>
      </c>
      <c r="M388" s="2">
        <v>2.2000000000000002</v>
      </c>
      <c r="N388" s="10"/>
      <c r="O388" s="6"/>
    </row>
    <row r="389" spans="1:15" s="5" customFormat="1" ht="25.5" x14ac:dyDescent="0.2">
      <c r="A389" s="2">
        <v>190</v>
      </c>
      <c r="B389" s="3" t="s">
        <v>1010</v>
      </c>
      <c r="C389" s="2" t="s">
        <v>1011</v>
      </c>
      <c r="D389" s="2" t="s">
        <v>1012</v>
      </c>
      <c r="E389" s="2" t="s">
        <v>1013</v>
      </c>
      <c r="F389" s="2" t="s">
        <v>22</v>
      </c>
      <c r="G389" s="2" t="s">
        <v>23</v>
      </c>
      <c r="H389" s="2">
        <v>12</v>
      </c>
      <c r="I389" s="2" t="s">
        <v>27</v>
      </c>
      <c r="J389" s="2" t="s">
        <v>28</v>
      </c>
      <c r="K389" s="4">
        <v>1.1000000000000001</v>
      </c>
      <c r="L389" s="4">
        <v>1</v>
      </c>
      <c r="M389" s="2">
        <v>1.1000000000000001</v>
      </c>
      <c r="N389" s="1" t="s">
        <v>301</v>
      </c>
      <c r="O389" s="2">
        <f>9.99*12</f>
        <v>119.88</v>
      </c>
    </row>
    <row r="390" spans="1:15" s="5" customFormat="1" ht="14.45" customHeight="1" x14ac:dyDescent="0.2">
      <c r="A390" s="6">
        <v>191</v>
      </c>
      <c r="B390" s="7" t="s">
        <v>636</v>
      </c>
      <c r="C390" s="6" t="s">
        <v>637</v>
      </c>
      <c r="D390" s="6" t="s">
        <v>638</v>
      </c>
      <c r="E390" s="6" t="s">
        <v>639</v>
      </c>
      <c r="F390" s="6" t="s">
        <v>22</v>
      </c>
      <c r="G390" s="8" t="s">
        <v>23</v>
      </c>
      <c r="H390" s="8">
        <v>12</v>
      </c>
      <c r="I390" s="2" t="s">
        <v>24</v>
      </c>
      <c r="J390" s="2" t="s">
        <v>25</v>
      </c>
      <c r="K390" s="4">
        <v>0.9</v>
      </c>
      <c r="L390" s="4">
        <v>1</v>
      </c>
      <c r="M390" s="2">
        <v>0.9</v>
      </c>
      <c r="N390" s="10" t="s">
        <v>640</v>
      </c>
      <c r="O390" s="6">
        <f>27.96*12</f>
        <v>335.52</v>
      </c>
    </row>
    <row r="391" spans="1:15" s="5" customFormat="1" x14ac:dyDescent="0.2">
      <c r="A391" s="6"/>
      <c r="B391" s="7"/>
      <c r="C391" s="6"/>
      <c r="D391" s="6"/>
      <c r="E391" s="6"/>
      <c r="F391" s="6"/>
      <c r="G391" s="9"/>
      <c r="H391" s="9"/>
      <c r="I391" s="2" t="s">
        <v>27</v>
      </c>
      <c r="J391" s="2" t="s">
        <v>28</v>
      </c>
      <c r="K391" s="4">
        <v>1.1000000000000001</v>
      </c>
      <c r="L391" s="4">
        <v>2</v>
      </c>
      <c r="M391" s="2">
        <v>2.2000000000000002</v>
      </c>
      <c r="N391" s="10"/>
      <c r="O391" s="6"/>
    </row>
    <row r="392" spans="1:15" s="5" customFormat="1" ht="14.45" customHeight="1" x14ac:dyDescent="0.2">
      <c r="A392" s="6">
        <v>192</v>
      </c>
      <c r="B392" s="7" t="s">
        <v>402</v>
      </c>
      <c r="C392" s="6" t="s">
        <v>403</v>
      </c>
      <c r="D392" s="6" t="s">
        <v>404</v>
      </c>
      <c r="E392" s="6" t="s">
        <v>405</v>
      </c>
      <c r="F392" s="6" t="s">
        <v>22</v>
      </c>
      <c r="G392" s="8" t="s">
        <v>74</v>
      </c>
      <c r="H392" s="8">
        <v>0</v>
      </c>
      <c r="I392" s="2" t="s">
        <v>24</v>
      </c>
      <c r="J392" s="2" t="s">
        <v>25</v>
      </c>
      <c r="K392" s="4">
        <v>0.9</v>
      </c>
      <c r="L392" s="4">
        <v>1</v>
      </c>
      <c r="M392" s="2">
        <v>0.9</v>
      </c>
      <c r="N392" s="10" t="s">
        <v>406</v>
      </c>
      <c r="O392" s="6">
        <f>33.99*12</f>
        <v>407.88</v>
      </c>
    </row>
    <row r="393" spans="1:15" s="5" customFormat="1" x14ac:dyDescent="0.2">
      <c r="A393" s="6"/>
      <c r="B393" s="7"/>
      <c r="C393" s="6"/>
      <c r="D393" s="6"/>
      <c r="E393" s="6"/>
      <c r="F393" s="6"/>
      <c r="G393" s="9"/>
      <c r="H393" s="9"/>
      <c r="I393" s="2" t="s">
        <v>27</v>
      </c>
      <c r="J393" s="2" t="s">
        <v>28</v>
      </c>
      <c r="K393" s="4">
        <v>1.1000000000000001</v>
      </c>
      <c r="L393" s="4">
        <v>2</v>
      </c>
      <c r="M393" s="2">
        <v>2.2000000000000002</v>
      </c>
      <c r="N393" s="10"/>
      <c r="O393" s="6"/>
    </row>
    <row r="394" spans="1:15" s="5" customFormat="1" ht="14.45" customHeight="1" x14ac:dyDescent="0.2">
      <c r="A394" s="6">
        <v>193</v>
      </c>
      <c r="B394" s="7" t="s">
        <v>407</v>
      </c>
      <c r="C394" s="6" t="s">
        <v>408</v>
      </c>
      <c r="D394" s="6" t="s">
        <v>409</v>
      </c>
      <c r="E394" s="6" t="s">
        <v>410</v>
      </c>
      <c r="F394" s="6" t="s">
        <v>22</v>
      </c>
      <c r="G394" s="8" t="s">
        <v>74</v>
      </c>
      <c r="H394" s="8">
        <v>15</v>
      </c>
      <c r="I394" s="2" t="s">
        <v>24</v>
      </c>
      <c r="J394" s="2" t="s">
        <v>25</v>
      </c>
      <c r="K394" s="4">
        <v>0.9</v>
      </c>
      <c r="L394" s="4">
        <v>1</v>
      </c>
      <c r="M394" s="2">
        <v>0.9</v>
      </c>
      <c r="N394" s="10" t="s">
        <v>291</v>
      </c>
      <c r="O394" s="6">
        <f>25.39*12</f>
        <v>304.68</v>
      </c>
    </row>
    <row r="395" spans="1:15" s="5" customFormat="1" x14ac:dyDescent="0.2">
      <c r="A395" s="6"/>
      <c r="B395" s="7"/>
      <c r="C395" s="6"/>
      <c r="D395" s="6"/>
      <c r="E395" s="6"/>
      <c r="F395" s="6"/>
      <c r="G395" s="9"/>
      <c r="H395" s="9"/>
      <c r="I395" s="2" t="s">
        <v>27</v>
      </c>
      <c r="J395" s="2" t="s">
        <v>28</v>
      </c>
      <c r="K395" s="4">
        <v>1.1000000000000001</v>
      </c>
      <c r="L395" s="4">
        <v>1</v>
      </c>
      <c r="M395" s="2">
        <v>1.1000000000000001</v>
      </c>
      <c r="N395" s="10"/>
      <c r="O395" s="6"/>
    </row>
    <row r="396" spans="1:15" s="5" customFormat="1" ht="14.45" customHeight="1" x14ac:dyDescent="0.2">
      <c r="A396" s="6">
        <v>194</v>
      </c>
      <c r="B396" s="7" t="s">
        <v>923</v>
      </c>
      <c r="C396" s="6" t="s">
        <v>924</v>
      </c>
      <c r="D396" s="6" t="s">
        <v>925</v>
      </c>
      <c r="E396" s="6" t="s">
        <v>926</v>
      </c>
      <c r="F396" s="6" t="s">
        <v>826</v>
      </c>
      <c r="G396" s="8" t="s">
        <v>23</v>
      </c>
      <c r="H396" s="8">
        <v>16</v>
      </c>
      <c r="I396" s="2" t="s">
        <v>24</v>
      </c>
      <c r="J396" s="2" t="s">
        <v>25</v>
      </c>
      <c r="K396" s="4">
        <v>0.9</v>
      </c>
      <c r="L396" s="4">
        <v>1</v>
      </c>
      <c r="M396" s="2">
        <v>0.9</v>
      </c>
      <c r="N396" s="10" t="s">
        <v>927</v>
      </c>
      <c r="O396" s="6">
        <f>53.81*12+2.28*12+1.18*12+0.21*12</f>
        <v>689.76</v>
      </c>
    </row>
    <row r="397" spans="1:15" s="5" customFormat="1" ht="15" customHeight="1" x14ac:dyDescent="0.2">
      <c r="A397" s="6"/>
      <c r="B397" s="7"/>
      <c r="C397" s="6"/>
      <c r="D397" s="6"/>
      <c r="E397" s="6"/>
      <c r="F397" s="6"/>
      <c r="G397" s="9"/>
      <c r="H397" s="9"/>
      <c r="I397" s="2" t="s">
        <v>27</v>
      </c>
      <c r="J397" s="2" t="s">
        <v>28</v>
      </c>
      <c r="K397" s="4">
        <v>1.1000000000000001</v>
      </c>
      <c r="L397" s="4">
        <v>3</v>
      </c>
      <c r="M397" s="2">
        <v>3.3000000000000003</v>
      </c>
      <c r="N397" s="10"/>
      <c r="O397" s="6"/>
    </row>
    <row r="398" spans="1:15" s="5" customFormat="1" ht="14.45" customHeight="1" x14ac:dyDescent="0.2">
      <c r="A398" s="6">
        <v>195</v>
      </c>
      <c r="B398" s="7" t="s">
        <v>928</v>
      </c>
      <c r="C398" s="6" t="s">
        <v>929</v>
      </c>
      <c r="D398" s="6" t="s">
        <v>930</v>
      </c>
      <c r="E398" s="6" t="s">
        <v>931</v>
      </c>
      <c r="F398" s="6" t="s">
        <v>826</v>
      </c>
      <c r="G398" s="8" t="s">
        <v>23</v>
      </c>
      <c r="H398" s="8">
        <v>16</v>
      </c>
      <c r="I398" s="2" t="s">
        <v>24</v>
      </c>
      <c r="J398" s="2" t="s">
        <v>25</v>
      </c>
      <c r="K398" s="4">
        <v>0.9</v>
      </c>
      <c r="L398" s="4">
        <v>1</v>
      </c>
      <c r="M398" s="2">
        <v>0.9</v>
      </c>
      <c r="N398" s="10" t="s">
        <v>932</v>
      </c>
      <c r="O398" s="6">
        <f>62.97*12</f>
        <v>755.64</v>
      </c>
    </row>
    <row r="399" spans="1:15" s="5" customFormat="1" x14ac:dyDescent="0.2">
      <c r="A399" s="6"/>
      <c r="B399" s="7"/>
      <c r="C399" s="6"/>
      <c r="D399" s="6"/>
      <c r="E399" s="6"/>
      <c r="F399" s="6"/>
      <c r="G399" s="9"/>
      <c r="H399" s="9"/>
      <c r="I399" s="2" t="s">
        <v>27</v>
      </c>
      <c r="J399" s="2" t="s">
        <v>28</v>
      </c>
      <c r="K399" s="4">
        <v>1.1000000000000001</v>
      </c>
      <c r="L399" s="4">
        <v>3</v>
      </c>
      <c r="M399" s="2">
        <v>3.3000000000000003</v>
      </c>
      <c r="N399" s="10"/>
      <c r="O399" s="6"/>
    </row>
    <row r="400" spans="1:15" s="5" customFormat="1" ht="14.45" customHeight="1" x14ac:dyDescent="0.2">
      <c r="A400" s="6">
        <v>196</v>
      </c>
      <c r="B400" s="7" t="s">
        <v>933</v>
      </c>
      <c r="C400" s="6" t="s">
        <v>934</v>
      </c>
      <c r="D400" s="6" t="s">
        <v>935</v>
      </c>
      <c r="E400" s="6" t="s">
        <v>936</v>
      </c>
      <c r="F400" s="6" t="s">
        <v>826</v>
      </c>
      <c r="G400" s="8" t="s">
        <v>23</v>
      </c>
      <c r="H400" s="8">
        <v>14</v>
      </c>
      <c r="I400" s="2" t="s">
        <v>24</v>
      </c>
      <c r="J400" s="2" t="s">
        <v>25</v>
      </c>
      <c r="K400" s="4">
        <v>0.9</v>
      </c>
      <c r="L400" s="4">
        <v>1</v>
      </c>
      <c r="M400" s="2">
        <v>0.9</v>
      </c>
      <c r="N400" s="10" t="s">
        <v>937</v>
      </c>
      <c r="O400" s="6">
        <f>43.77*12+1.9*12+0.09*12</f>
        <v>549.12</v>
      </c>
    </row>
    <row r="401" spans="1:15" s="5" customFormat="1" x14ac:dyDescent="0.2">
      <c r="A401" s="6"/>
      <c r="B401" s="7"/>
      <c r="C401" s="6"/>
      <c r="D401" s="6"/>
      <c r="E401" s="6"/>
      <c r="F401" s="6"/>
      <c r="G401" s="9"/>
      <c r="H401" s="9"/>
      <c r="I401" s="2" t="s">
        <v>27</v>
      </c>
      <c r="J401" s="2" t="s">
        <v>28</v>
      </c>
      <c r="K401" s="4">
        <v>1.1000000000000001</v>
      </c>
      <c r="L401" s="4">
        <v>2</v>
      </c>
      <c r="M401" s="2">
        <v>2.2000000000000002</v>
      </c>
      <c r="N401" s="10"/>
      <c r="O401" s="6"/>
    </row>
    <row r="402" spans="1:15" s="5" customFormat="1" ht="14.45" customHeight="1" x14ac:dyDescent="0.2">
      <c r="A402" s="6">
        <v>197</v>
      </c>
      <c r="B402" s="7" t="s">
        <v>411</v>
      </c>
      <c r="C402" s="6" t="s">
        <v>412</v>
      </c>
      <c r="D402" s="6" t="s">
        <v>413</v>
      </c>
      <c r="E402" s="6" t="s">
        <v>414</v>
      </c>
      <c r="F402" s="6" t="s">
        <v>22</v>
      </c>
      <c r="G402" s="8" t="s">
        <v>23</v>
      </c>
      <c r="H402" s="8">
        <v>15</v>
      </c>
      <c r="I402" s="2" t="s">
        <v>24</v>
      </c>
      <c r="J402" s="2" t="s">
        <v>25</v>
      </c>
      <c r="K402" s="4">
        <v>0.9</v>
      </c>
      <c r="L402" s="4">
        <v>1</v>
      </c>
      <c r="M402" s="2">
        <v>0.9</v>
      </c>
      <c r="N402" s="10" t="s">
        <v>291</v>
      </c>
      <c r="O402" s="6">
        <f>25.39*12</f>
        <v>304.68</v>
      </c>
    </row>
    <row r="403" spans="1:15" s="5" customFormat="1" x14ac:dyDescent="0.2">
      <c r="A403" s="6"/>
      <c r="B403" s="7"/>
      <c r="C403" s="6"/>
      <c r="D403" s="6"/>
      <c r="E403" s="6"/>
      <c r="F403" s="6"/>
      <c r="G403" s="9"/>
      <c r="H403" s="9"/>
      <c r="I403" s="2" t="s">
        <v>27</v>
      </c>
      <c r="J403" s="2" t="s">
        <v>28</v>
      </c>
      <c r="K403" s="4">
        <v>1.1000000000000001</v>
      </c>
      <c r="L403" s="4">
        <v>1</v>
      </c>
      <c r="M403" s="2">
        <v>1.1000000000000001</v>
      </c>
      <c r="N403" s="10"/>
      <c r="O403" s="6"/>
    </row>
    <row r="404" spans="1:15" s="5" customFormat="1" ht="14.45" customHeight="1" x14ac:dyDescent="0.2">
      <c r="A404" s="6">
        <v>198</v>
      </c>
      <c r="B404" s="7" t="s">
        <v>415</v>
      </c>
      <c r="C404" s="6" t="s">
        <v>416</v>
      </c>
      <c r="D404" s="6" t="s">
        <v>417</v>
      </c>
      <c r="E404" s="6" t="s">
        <v>418</v>
      </c>
      <c r="F404" s="6" t="s">
        <v>22</v>
      </c>
      <c r="G404" s="8" t="s">
        <v>23</v>
      </c>
      <c r="H404" s="8">
        <v>12</v>
      </c>
      <c r="I404" s="2" t="s">
        <v>24</v>
      </c>
      <c r="J404" s="2" t="s">
        <v>25</v>
      </c>
      <c r="K404" s="4">
        <v>0.9</v>
      </c>
      <c r="L404" s="4">
        <v>1</v>
      </c>
      <c r="M404" s="2">
        <v>0.9</v>
      </c>
      <c r="N404" s="10" t="s">
        <v>419</v>
      </c>
      <c r="O404" s="6">
        <f>14.96*12+0.07*12+0.07*12</f>
        <v>181.20000000000002</v>
      </c>
    </row>
    <row r="405" spans="1:15" s="5" customFormat="1" ht="57.75" customHeight="1" x14ac:dyDescent="0.2">
      <c r="A405" s="6"/>
      <c r="B405" s="7"/>
      <c r="C405" s="6"/>
      <c r="D405" s="6"/>
      <c r="E405" s="6"/>
      <c r="F405" s="6"/>
      <c r="G405" s="9"/>
      <c r="H405" s="9"/>
      <c r="I405" s="2" t="s">
        <v>27</v>
      </c>
      <c r="J405" s="2" t="s">
        <v>28</v>
      </c>
      <c r="K405" s="4">
        <v>1.1000000000000001</v>
      </c>
      <c r="L405" s="4">
        <v>2</v>
      </c>
      <c r="M405" s="2">
        <v>2.2000000000000002</v>
      </c>
      <c r="N405" s="10"/>
      <c r="O405" s="6"/>
    </row>
    <row r="406" spans="1:15" s="5" customFormat="1" ht="25.5" x14ac:dyDescent="0.2">
      <c r="A406" s="2">
        <v>199</v>
      </c>
      <c r="B406" s="3" t="s">
        <v>420</v>
      </c>
      <c r="C406" s="2" t="s">
        <v>421</v>
      </c>
      <c r="D406" s="2" t="s">
        <v>422</v>
      </c>
      <c r="E406" s="2" t="s">
        <v>423</v>
      </c>
      <c r="F406" s="2" t="s">
        <v>22</v>
      </c>
      <c r="G406" s="2" t="s">
        <v>23</v>
      </c>
      <c r="H406" s="2">
        <v>12</v>
      </c>
      <c r="I406" s="2" t="s">
        <v>27</v>
      </c>
      <c r="J406" s="2" t="s">
        <v>28</v>
      </c>
      <c r="K406" s="4">
        <v>1.1000000000000001</v>
      </c>
      <c r="L406" s="4">
        <v>1</v>
      </c>
      <c r="M406" s="2">
        <v>1.1000000000000001</v>
      </c>
      <c r="N406" s="1" t="s">
        <v>424</v>
      </c>
      <c r="O406" s="2">
        <f>11.39*12</f>
        <v>136.68</v>
      </c>
    </row>
    <row r="407" spans="1:15" s="5" customFormat="1" ht="25.5" x14ac:dyDescent="0.2">
      <c r="A407" s="2">
        <v>200</v>
      </c>
      <c r="B407" s="3" t="s">
        <v>425</v>
      </c>
      <c r="C407" s="2" t="s">
        <v>426</v>
      </c>
      <c r="D407" s="2" t="s">
        <v>427</v>
      </c>
      <c r="E407" s="2" t="s">
        <v>428</v>
      </c>
      <c r="F407" s="2" t="s">
        <v>22</v>
      </c>
      <c r="G407" s="2" t="s">
        <v>23</v>
      </c>
      <c r="H407" s="2">
        <v>12</v>
      </c>
      <c r="I407" s="2" t="s">
        <v>27</v>
      </c>
      <c r="J407" s="2" t="s">
        <v>28</v>
      </c>
      <c r="K407" s="4">
        <v>1.1000000000000001</v>
      </c>
      <c r="L407" s="4">
        <v>1</v>
      </c>
      <c r="M407" s="2">
        <v>1.1000000000000001</v>
      </c>
      <c r="N407" s="1" t="s">
        <v>429</v>
      </c>
      <c r="O407" s="2">
        <f>15.37*12</f>
        <v>184.44</v>
      </c>
    </row>
    <row r="408" spans="1:15" s="5" customFormat="1" ht="40.5" customHeight="1" x14ac:dyDescent="0.2">
      <c r="A408" s="2">
        <v>201</v>
      </c>
      <c r="B408" s="3" t="s">
        <v>430</v>
      </c>
      <c r="C408" s="2" t="s">
        <v>431</v>
      </c>
      <c r="D408" s="2" t="s">
        <v>432</v>
      </c>
      <c r="E408" s="2" t="s">
        <v>433</v>
      </c>
      <c r="F408" s="2" t="s">
        <v>22</v>
      </c>
      <c r="G408" s="2" t="s">
        <v>23</v>
      </c>
      <c r="H408" s="2">
        <v>27</v>
      </c>
      <c r="I408" s="2" t="s">
        <v>130</v>
      </c>
      <c r="J408" s="2" t="s">
        <v>131</v>
      </c>
      <c r="K408" s="4">
        <v>8</v>
      </c>
      <c r="L408" s="4">
        <v>1</v>
      </c>
      <c r="M408" s="2">
        <v>8</v>
      </c>
      <c r="N408" s="1" t="s">
        <v>434</v>
      </c>
      <c r="O408" s="2">
        <f>17.11*12+0.07*12</f>
        <v>206.16</v>
      </c>
    </row>
    <row r="409" spans="1:15" s="5" customFormat="1" ht="25.5" x14ac:dyDescent="0.2">
      <c r="A409" s="2">
        <v>202</v>
      </c>
      <c r="B409" s="3" t="s">
        <v>435</v>
      </c>
      <c r="C409" s="2" t="s">
        <v>436</v>
      </c>
      <c r="D409" s="2" t="s">
        <v>437</v>
      </c>
      <c r="E409" s="2" t="s">
        <v>438</v>
      </c>
      <c r="F409" s="2" t="s">
        <v>22</v>
      </c>
      <c r="G409" s="2" t="s">
        <v>74</v>
      </c>
      <c r="H409" s="2">
        <v>15</v>
      </c>
      <c r="I409" s="2" t="s">
        <v>130</v>
      </c>
      <c r="J409" s="2" t="s">
        <v>131</v>
      </c>
      <c r="K409" s="4">
        <v>8</v>
      </c>
      <c r="L409" s="4">
        <v>1</v>
      </c>
      <c r="M409" s="2">
        <v>8</v>
      </c>
      <c r="N409" s="1" t="s">
        <v>439</v>
      </c>
      <c r="O409" s="2">
        <f>19*12</f>
        <v>228</v>
      </c>
    </row>
    <row r="410" spans="1:15" s="5" customFormat="1" ht="14.45" customHeight="1" x14ac:dyDescent="0.2">
      <c r="A410" s="6">
        <v>203</v>
      </c>
      <c r="B410" s="7" t="s">
        <v>440</v>
      </c>
      <c r="C410" s="6" t="s">
        <v>441</v>
      </c>
      <c r="D410" s="6" t="s">
        <v>442</v>
      </c>
      <c r="E410" s="6" t="s">
        <v>443</v>
      </c>
      <c r="F410" s="6" t="s">
        <v>22</v>
      </c>
      <c r="G410" s="8" t="s">
        <v>23</v>
      </c>
      <c r="H410" s="8">
        <v>12</v>
      </c>
      <c r="I410" s="2" t="s">
        <v>24</v>
      </c>
      <c r="J410" s="2" t="s">
        <v>25</v>
      </c>
      <c r="K410" s="4">
        <v>0.9</v>
      </c>
      <c r="L410" s="4">
        <v>1</v>
      </c>
      <c r="M410" s="2">
        <v>0.9</v>
      </c>
      <c r="N410" s="10" t="s">
        <v>444</v>
      </c>
      <c r="O410" s="6">
        <f>11.27*12</f>
        <v>135.24</v>
      </c>
    </row>
    <row r="411" spans="1:15" s="5" customFormat="1" x14ac:dyDescent="0.2">
      <c r="A411" s="6"/>
      <c r="B411" s="7"/>
      <c r="C411" s="6"/>
      <c r="D411" s="6"/>
      <c r="E411" s="6"/>
      <c r="F411" s="6"/>
      <c r="G411" s="9"/>
      <c r="H411" s="9"/>
      <c r="I411" s="2" t="s">
        <v>27</v>
      </c>
      <c r="J411" s="2" t="s">
        <v>28</v>
      </c>
      <c r="K411" s="4">
        <v>1.1000000000000001</v>
      </c>
      <c r="L411" s="4">
        <v>1</v>
      </c>
      <c r="M411" s="2">
        <v>1.1000000000000001</v>
      </c>
      <c r="N411" s="10"/>
      <c r="O411" s="6"/>
    </row>
    <row r="412" spans="1:15" s="5" customFormat="1" ht="14.45" customHeight="1" x14ac:dyDescent="0.2">
      <c r="A412" s="6">
        <v>204</v>
      </c>
      <c r="B412" s="7" t="s">
        <v>445</v>
      </c>
      <c r="C412" s="6" t="s">
        <v>446</v>
      </c>
      <c r="D412" s="6" t="s">
        <v>447</v>
      </c>
      <c r="E412" s="6" t="s">
        <v>448</v>
      </c>
      <c r="F412" s="6" t="s">
        <v>22</v>
      </c>
      <c r="G412" s="8" t="s">
        <v>23</v>
      </c>
      <c r="H412" s="8">
        <v>12</v>
      </c>
      <c r="I412" s="2" t="s">
        <v>24</v>
      </c>
      <c r="J412" s="2" t="s">
        <v>25</v>
      </c>
      <c r="K412" s="4">
        <v>0.9</v>
      </c>
      <c r="L412" s="4">
        <v>1</v>
      </c>
      <c r="M412" s="2">
        <v>0.9</v>
      </c>
      <c r="N412" s="10" t="s">
        <v>449</v>
      </c>
      <c r="O412" s="6">
        <f>21.98*12</f>
        <v>263.76</v>
      </c>
    </row>
    <row r="413" spans="1:15" s="5" customFormat="1" x14ac:dyDescent="0.2">
      <c r="A413" s="6"/>
      <c r="B413" s="7"/>
      <c r="C413" s="6"/>
      <c r="D413" s="6"/>
      <c r="E413" s="6"/>
      <c r="F413" s="6"/>
      <c r="G413" s="9"/>
      <c r="H413" s="9"/>
      <c r="I413" s="2" t="s">
        <v>27</v>
      </c>
      <c r="J413" s="2" t="s">
        <v>28</v>
      </c>
      <c r="K413" s="4">
        <v>1.1000000000000001</v>
      </c>
      <c r="L413" s="4">
        <v>2</v>
      </c>
      <c r="M413" s="2">
        <v>2.2000000000000002</v>
      </c>
      <c r="N413" s="10"/>
      <c r="O413" s="6"/>
    </row>
    <row r="414" spans="1:15" s="5" customFormat="1" ht="14.45" customHeight="1" x14ac:dyDescent="0.2">
      <c r="A414" s="6">
        <v>205</v>
      </c>
      <c r="B414" s="7" t="s">
        <v>450</v>
      </c>
      <c r="C414" s="6" t="s">
        <v>451</v>
      </c>
      <c r="D414" s="6" t="s">
        <v>452</v>
      </c>
      <c r="E414" s="6" t="s">
        <v>453</v>
      </c>
      <c r="F414" s="6" t="s">
        <v>22</v>
      </c>
      <c r="G414" s="8" t="s">
        <v>74</v>
      </c>
      <c r="H414" s="8">
        <v>15</v>
      </c>
      <c r="I414" s="2" t="s">
        <v>24</v>
      </c>
      <c r="J414" s="2" t="s">
        <v>25</v>
      </c>
      <c r="K414" s="4">
        <v>0.9</v>
      </c>
      <c r="L414" s="4">
        <v>1</v>
      </c>
      <c r="M414" s="2">
        <v>0.9</v>
      </c>
      <c r="N414" s="10" t="s">
        <v>454</v>
      </c>
      <c r="O414" s="6">
        <f>23.3*12</f>
        <v>279.60000000000002</v>
      </c>
    </row>
    <row r="415" spans="1:15" s="5" customFormat="1" x14ac:dyDescent="0.2">
      <c r="A415" s="6"/>
      <c r="B415" s="7"/>
      <c r="C415" s="6"/>
      <c r="D415" s="6"/>
      <c r="E415" s="6"/>
      <c r="F415" s="6"/>
      <c r="G415" s="9"/>
      <c r="H415" s="9"/>
      <c r="I415" s="2" t="s">
        <v>27</v>
      </c>
      <c r="J415" s="2" t="s">
        <v>28</v>
      </c>
      <c r="K415" s="4">
        <v>1.1000000000000001</v>
      </c>
      <c r="L415" s="4">
        <v>1</v>
      </c>
      <c r="M415" s="2">
        <v>1.1000000000000001</v>
      </c>
      <c r="N415" s="10"/>
      <c r="O415" s="6"/>
    </row>
    <row r="416" spans="1:15" s="5" customFormat="1" ht="14.45" customHeight="1" x14ac:dyDescent="0.2">
      <c r="A416" s="6">
        <v>206</v>
      </c>
      <c r="B416" s="7" t="s">
        <v>455</v>
      </c>
      <c r="C416" s="6" t="s">
        <v>456</v>
      </c>
      <c r="D416" s="6" t="s">
        <v>457</v>
      </c>
      <c r="E416" s="6" t="s">
        <v>458</v>
      </c>
      <c r="F416" s="6" t="s">
        <v>22</v>
      </c>
      <c r="G416" s="8" t="s">
        <v>74</v>
      </c>
      <c r="H416" s="8">
        <v>12</v>
      </c>
      <c r="I416" s="2" t="s">
        <v>24</v>
      </c>
      <c r="J416" s="2" t="s">
        <v>25</v>
      </c>
      <c r="K416" s="4">
        <v>0.9</v>
      </c>
      <c r="L416" s="4">
        <v>1</v>
      </c>
      <c r="M416" s="2">
        <v>0.9</v>
      </c>
      <c r="N416" s="10" t="s">
        <v>459</v>
      </c>
      <c r="O416" s="6">
        <f>29.85*12+0.09*12</f>
        <v>359.28000000000003</v>
      </c>
    </row>
    <row r="417" spans="1:15" s="5" customFormat="1" x14ac:dyDescent="0.2">
      <c r="A417" s="6"/>
      <c r="B417" s="7"/>
      <c r="C417" s="6"/>
      <c r="D417" s="6"/>
      <c r="E417" s="6"/>
      <c r="F417" s="6"/>
      <c r="G417" s="9"/>
      <c r="H417" s="9"/>
      <c r="I417" s="2" t="s">
        <v>27</v>
      </c>
      <c r="J417" s="2" t="s">
        <v>28</v>
      </c>
      <c r="K417" s="4">
        <v>1.1000000000000001</v>
      </c>
      <c r="L417" s="4">
        <v>2</v>
      </c>
      <c r="M417" s="2">
        <v>2.2000000000000002</v>
      </c>
      <c r="N417" s="10"/>
      <c r="O417" s="6"/>
    </row>
    <row r="418" spans="1:15" s="5" customFormat="1" ht="14.45" customHeight="1" x14ac:dyDescent="0.2">
      <c r="A418" s="6">
        <v>207</v>
      </c>
      <c r="B418" s="7" t="s">
        <v>460</v>
      </c>
      <c r="C418" s="6" t="s">
        <v>461</v>
      </c>
      <c r="D418" s="6" t="s">
        <v>462</v>
      </c>
      <c r="E418" s="6" t="s">
        <v>463</v>
      </c>
      <c r="F418" s="6" t="s">
        <v>22</v>
      </c>
      <c r="G418" s="8" t="s">
        <v>74</v>
      </c>
      <c r="H418" s="8">
        <v>15</v>
      </c>
      <c r="I418" s="2" t="s">
        <v>24</v>
      </c>
      <c r="J418" s="2" t="s">
        <v>25</v>
      </c>
      <c r="K418" s="4">
        <v>0.9</v>
      </c>
      <c r="L418" s="4">
        <v>1</v>
      </c>
      <c r="M418" s="2">
        <v>0.9</v>
      </c>
      <c r="N418" s="10" t="s">
        <v>464</v>
      </c>
      <c r="O418" s="6">
        <f>21.77*12+0.7*12</f>
        <v>269.64</v>
      </c>
    </row>
    <row r="419" spans="1:15" s="5" customFormat="1" x14ac:dyDescent="0.2">
      <c r="A419" s="6"/>
      <c r="B419" s="7"/>
      <c r="C419" s="6"/>
      <c r="D419" s="6"/>
      <c r="E419" s="6"/>
      <c r="F419" s="6"/>
      <c r="G419" s="9"/>
      <c r="H419" s="9"/>
      <c r="I419" s="2" t="s">
        <v>27</v>
      </c>
      <c r="J419" s="2" t="s">
        <v>28</v>
      </c>
      <c r="K419" s="4">
        <v>1.1000000000000001</v>
      </c>
      <c r="L419" s="4">
        <v>1</v>
      </c>
      <c r="M419" s="2">
        <v>1.1000000000000001</v>
      </c>
      <c r="N419" s="10"/>
      <c r="O419" s="6"/>
    </row>
    <row r="420" spans="1:15" s="5" customFormat="1" ht="14.45" customHeight="1" x14ac:dyDescent="0.2">
      <c r="A420" s="6">
        <v>208</v>
      </c>
      <c r="B420" s="7" t="s">
        <v>938</v>
      </c>
      <c r="C420" s="6" t="s">
        <v>939</v>
      </c>
      <c r="D420" s="6" t="s">
        <v>940</v>
      </c>
      <c r="E420" s="6" t="s">
        <v>941</v>
      </c>
      <c r="F420" s="6" t="s">
        <v>826</v>
      </c>
      <c r="G420" s="8" t="s">
        <v>23</v>
      </c>
      <c r="H420" s="8">
        <v>8</v>
      </c>
      <c r="I420" s="2" t="s">
        <v>24</v>
      </c>
      <c r="J420" s="2" t="s">
        <v>25</v>
      </c>
      <c r="K420" s="4">
        <v>0.9</v>
      </c>
      <c r="L420" s="4">
        <v>1</v>
      </c>
      <c r="M420" s="2">
        <v>0.9</v>
      </c>
      <c r="N420" s="10" t="s">
        <v>942</v>
      </c>
      <c r="O420" s="6">
        <f>43.96*12</f>
        <v>527.52</v>
      </c>
    </row>
    <row r="421" spans="1:15" s="5" customFormat="1" x14ac:dyDescent="0.2">
      <c r="A421" s="6"/>
      <c r="B421" s="7"/>
      <c r="C421" s="6"/>
      <c r="D421" s="6"/>
      <c r="E421" s="6"/>
      <c r="F421" s="6"/>
      <c r="G421" s="9"/>
      <c r="H421" s="9"/>
      <c r="I421" s="2" t="s">
        <v>27</v>
      </c>
      <c r="J421" s="2" t="s">
        <v>28</v>
      </c>
      <c r="K421" s="4">
        <v>1.1000000000000001</v>
      </c>
      <c r="L421" s="4">
        <v>2</v>
      </c>
      <c r="M421" s="2">
        <v>2.2000000000000002</v>
      </c>
      <c r="N421" s="10"/>
      <c r="O421" s="6"/>
    </row>
    <row r="422" spans="1:15" s="5" customFormat="1" ht="30.75" customHeight="1" x14ac:dyDescent="0.2">
      <c r="A422" s="2">
        <v>209</v>
      </c>
      <c r="B422" s="3" t="s">
        <v>465</v>
      </c>
      <c r="C422" s="2" t="s">
        <v>466</v>
      </c>
      <c r="D422" s="2" t="s">
        <v>467</v>
      </c>
      <c r="E422" s="2" t="s">
        <v>468</v>
      </c>
      <c r="F422" s="2" t="s">
        <v>22</v>
      </c>
      <c r="G422" s="2" t="s">
        <v>23</v>
      </c>
      <c r="H422" s="2">
        <v>12</v>
      </c>
      <c r="I422" s="2" t="s">
        <v>27</v>
      </c>
      <c r="J422" s="2" t="s">
        <v>28</v>
      </c>
      <c r="K422" s="4">
        <v>1.1000000000000001</v>
      </c>
      <c r="L422" s="4">
        <v>2</v>
      </c>
      <c r="M422" s="2">
        <v>2.2000000000000002</v>
      </c>
      <c r="N422" s="1" t="s">
        <v>469</v>
      </c>
      <c r="O422" s="2">
        <f>24.86*12+0.14*12</f>
        <v>300</v>
      </c>
    </row>
    <row r="423" spans="1:15" s="5" customFormat="1" ht="25.5" x14ac:dyDescent="0.2">
      <c r="A423" s="2">
        <v>210</v>
      </c>
      <c r="B423" s="3" t="s">
        <v>470</v>
      </c>
      <c r="C423" s="2" t="s">
        <v>471</v>
      </c>
      <c r="D423" s="2" t="s">
        <v>472</v>
      </c>
      <c r="E423" s="2" t="s">
        <v>473</v>
      </c>
      <c r="F423" s="2" t="s">
        <v>22</v>
      </c>
      <c r="G423" s="2" t="s">
        <v>74</v>
      </c>
      <c r="H423" s="2">
        <v>12</v>
      </c>
      <c r="I423" s="2" t="s">
        <v>27</v>
      </c>
      <c r="J423" s="2" t="s">
        <v>28</v>
      </c>
      <c r="K423" s="4">
        <v>1.1000000000000001</v>
      </c>
      <c r="L423" s="4">
        <v>1</v>
      </c>
      <c r="M423" s="2">
        <v>1.1000000000000001</v>
      </c>
      <c r="N423" s="1" t="s">
        <v>474</v>
      </c>
      <c r="O423" s="2">
        <f>2.51*12</f>
        <v>30.119999999999997</v>
      </c>
    </row>
    <row r="424" spans="1:15" s="5" customFormat="1" ht="14.45" customHeight="1" x14ac:dyDescent="0.2">
      <c r="A424" s="6">
        <v>211</v>
      </c>
      <c r="B424" s="7" t="s">
        <v>18</v>
      </c>
      <c r="C424" s="6" t="s">
        <v>19</v>
      </c>
      <c r="D424" s="6" t="s">
        <v>20</v>
      </c>
      <c r="E424" s="6" t="s">
        <v>21</v>
      </c>
      <c r="F424" s="6" t="s">
        <v>22</v>
      </c>
      <c r="G424" s="8" t="s">
        <v>23</v>
      </c>
      <c r="H424" s="8">
        <v>12</v>
      </c>
      <c r="I424" s="2" t="s">
        <v>24</v>
      </c>
      <c r="J424" s="2" t="s">
        <v>25</v>
      </c>
      <c r="K424" s="4">
        <v>0.9</v>
      </c>
      <c r="L424" s="4">
        <v>1</v>
      </c>
      <c r="M424" s="2">
        <v>0.9</v>
      </c>
      <c r="N424" s="10" t="s">
        <v>26</v>
      </c>
      <c r="O424" s="6">
        <f>16.58*12</f>
        <v>198.95999999999998</v>
      </c>
    </row>
    <row r="425" spans="1:15" s="5" customFormat="1" x14ac:dyDescent="0.2">
      <c r="A425" s="6"/>
      <c r="B425" s="7"/>
      <c r="C425" s="6"/>
      <c r="D425" s="6"/>
      <c r="E425" s="6"/>
      <c r="F425" s="6"/>
      <c r="G425" s="9"/>
      <c r="H425" s="9"/>
      <c r="I425" s="2" t="s">
        <v>27</v>
      </c>
      <c r="J425" s="2" t="s">
        <v>28</v>
      </c>
      <c r="K425" s="4">
        <v>1.1000000000000001</v>
      </c>
      <c r="L425" s="4">
        <v>1</v>
      </c>
      <c r="M425" s="2">
        <v>1.1000000000000001</v>
      </c>
      <c r="N425" s="10"/>
      <c r="O425" s="6"/>
    </row>
    <row r="426" spans="1:15" s="5" customFormat="1" ht="14.45" customHeight="1" x14ac:dyDescent="0.2">
      <c r="A426" s="6">
        <v>212</v>
      </c>
      <c r="B426" s="7" t="s">
        <v>650</v>
      </c>
      <c r="C426" s="6" t="s">
        <v>651</v>
      </c>
      <c r="D426" s="6" t="s">
        <v>652</v>
      </c>
      <c r="E426" s="6" t="s">
        <v>653</v>
      </c>
      <c r="F426" s="6" t="s">
        <v>22</v>
      </c>
      <c r="G426" s="8" t="s">
        <v>23</v>
      </c>
      <c r="H426" s="8">
        <v>12</v>
      </c>
      <c r="I426" s="2" t="s">
        <v>24</v>
      </c>
      <c r="J426" s="2" t="s">
        <v>25</v>
      </c>
      <c r="K426" s="4">
        <v>0.9</v>
      </c>
      <c r="L426" s="4">
        <v>1</v>
      </c>
      <c r="M426" s="2">
        <v>0.9</v>
      </c>
      <c r="N426" s="10" t="s">
        <v>654</v>
      </c>
      <c r="O426" s="6">
        <f>16.67*12</f>
        <v>200.04000000000002</v>
      </c>
    </row>
    <row r="427" spans="1:15" s="5" customFormat="1" x14ac:dyDescent="0.2">
      <c r="A427" s="6"/>
      <c r="B427" s="7"/>
      <c r="C427" s="6"/>
      <c r="D427" s="6"/>
      <c r="E427" s="6"/>
      <c r="F427" s="6"/>
      <c r="G427" s="9"/>
      <c r="H427" s="9"/>
      <c r="I427" s="2" t="s">
        <v>27</v>
      </c>
      <c r="J427" s="2" t="s">
        <v>28</v>
      </c>
      <c r="K427" s="4">
        <v>1.1000000000000001</v>
      </c>
      <c r="L427" s="4">
        <v>1</v>
      </c>
      <c r="M427" s="2">
        <v>1.1000000000000001</v>
      </c>
      <c r="N427" s="10"/>
      <c r="O427" s="6"/>
    </row>
    <row r="428" spans="1:15" s="5" customFormat="1" ht="14.45" customHeight="1" x14ac:dyDescent="0.2">
      <c r="A428" s="6">
        <v>213</v>
      </c>
      <c r="B428" s="7" t="s">
        <v>641</v>
      </c>
      <c r="C428" s="6" t="s">
        <v>642</v>
      </c>
      <c r="D428" s="6" t="s">
        <v>643</v>
      </c>
      <c r="E428" s="6" t="s">
        <v>644</v>
      </c>
      <c r="F428" s="6" t="s">
        <v>22</v>
      </c>
      <c r="G428" s="8" t="s">
        <v>23</v>
      </c>
      <c r="H428" s="8">
        <v>12</v>
      </c>
      <c r="I428" s="2" t="s">
        <v>24</v>
      </c>
      <c r="J428" s="2" t="s">
        <v>25</v>
      </c>
      <c r="K428" s="4">
        <v>0.9</v>
      </c>
      <c r="L428" s="4">
        <v>1</v>
      </c>
      <c r="M428" s="2">
        <v>0.9</v>
      </c>
      <c r="N428" s="10" t="s">
        <v>645</v>
      </c>
      <c r="O428" s="6">
        <f>12.02*12</f>
        <v>144.24</v>
      </c>
    </row>
    <row r="429" spans="1:15" s="5" customFormat="1" x14ac:dyDescent="0.2">
      <c r="A429" s="6"/>
      <c r="B429" s="7"/>
      <c r="C429" s="6"/>
      <c r="D429" s="6"/>
      <c r="E429" s="6"/>
      <c r="F429" s="6"/>
      <c r="G429" s="9"/>
      <c r="H429" s="9"/>
      <c r="I429" s="2" t="s">
        <v>27</v>
      </c>
      <c r="J429" s="2" t="s">
        <v>28</v>
      </c>
      <c r="K429" s="4">
        <v>1.1000000000000001</v>
      </c>
      <c r="L429" s="4">
        <v>1</v>
      </c>
      <c r="M429" s="2">
        <v>1.1000000000000001</v>
      </c>
      <c r="N429" s="10"/>
      <c r="O429" s="6"/>
    </row>
    <row r="430" spans="1:15" s="5" customFormat="1" ht="14.45" customHeight="1" x14ac:dyDescent="0.2">
      <c r="A430" s="6">
        <v>214</v>
      </c>
      <c r="B430" s="7" t="s">
        <v>475</v>
      </c>
      <c r="C430" s="6" t="s">
        <v>476</v>
      </c>
      <c r="D430" s="6" t="s">
        <v>477</v>
      </c>
      <c r="E430" s="6" t="s">
        <v>478</v>
      </c>
      <c r="F430" s="6" t="s">
        <v>22</v>
      </c>
      <c r="G430" s="8" t="s">
        <v>23</v>
      </c>
      <c r="H430" s="8">
        <v>12</v>
      </c>
      <c r="I430" s="2" t="s">
        <v>24</v>
      </c>
      <c r="J430" s="2" t="s">
        <v>25</v>
      </c>
      <c r="K430" s="4">
        <v>0.9</v>
      </c>
      <c r="L430" s="4">
        <v>1</v>
      </c>
      <c r="M430" s="2">
        <v>0.9</v>
      </c>
      <c r="N430" s="10" t="s">
        <v>479</v>
      </c>
      <c r="O430" s="6">
        <f>17.4*12</f>
        <v>208.79999999999998</v>
      </c>
    </row>
    <row r="431" spans="1:15" s="5" customFormat="1" x14ac:dyDescent="0.2">
      <c r="A431" s="6"/>
      <c r="B431" s="7"/>
      <c r="C431" s="6"/>
      <c r="D431" s="6"/>
      <c r="E431" s="6"/>
      <c r="F431" s="6"/>
      <c r="G431" s="9"/>
      <c r="H431" s="9"/>
      <c r="I431" s="2" t="s">
        <v>27</v>
      </c>
      <c r="J431" s="2" t="s">
        <v>28</v>
      </c>
      <c r="K431" s="4">
        <v>1.1000000000000001</v>
      </c>
      <c r="L431" s="4">
        <v>2</v>
      </c>
      <c r="M431" s="2">
        <v>2.2000000000000002</v>
      </c>
      <c r="N431" s="10"/>
      <c r="O431" s="6"/>
    </row>
    <row r="432" spans="1:15" s="5" customFormat="1" ht="14.45" customHeight="1" x14ac:dyDescent="0.2">
      <c r="A432" s="6">
        <v>215</v>
      </c>
      <c r="B432" s="7" t="s">
        <v>480</v>
      </c>
      <c r="C432" s="6" t="s">
        <v>481</v>
      </c>
      <c r="D432" s="6" t="s">
        <v>482</v>
      </c>
      <c r="E432" s="6" t="s">
        <v>483</v>
      </c>
      <c r="F432" s="6" t="s">
        <v>22</v>
      </c>
      <c r="G432" s="8" t="s">
        <v>23</v>
      </c>
      <c r="H432" s="8">
        <v>12</v>
      </c>
      <c r="I432" s="2" t="s">
        <v>24</v>
      </c>
      <c r="J432" s="2" t="s">
        <v>25</v>
      </c>
      <c r="K432" s="4">
        <v>0.9</v>
      </c>
      <c r="L432" s="4">
        <v>1</v>
      </c>
      <c r="M432" s="2">
        <v>0.9</v>
      </c>
      <c r="N432" s="10" t="s">
        <v>484</v>
      </c>
      <c r="O432" s="6">
        <f>18.42*12</f>
        <v>221.04000000000002</v>
      </c>
    </row>
    <row r="433" spans="1:15" s="5" customFormat="1" x14ac:dyDescent="0.2">
      <c r="A433" s="6"/>
      <c r="B433" s="7"/>
      <c r="C433" s="6"/>
      <c r="D433" s="6"/>
      <c r="E433" s="6"/>
      <c r="F433" s="6"/>
      <c r="G433" s="9"/>
      <c r="H433" s="9"/>
      <c r="I433" s="2" t="s">
        <v>27</v>
      </c>
      <c r="J433" s="2" t="s">
        <v>28</v>
      </c>
      <c r="K433" s="4">
        <v>1.1000000000000001</v>
      </c>
      <c r="L433" s="4">
        <v>1</v>
      </c>
      <c r="M433" s="2">
        <v>1.1000000000000001</v>
      </c>
      <c r="N433" s="10"/>
      <c r="O433" s="6"/>
    </row>
    <row r="434" spans="1:15" s="5" customFormat="1" ht="14.45" customHeight="1" x14ac:dyDescent="0.2">
      <c r="A434" s="6">
        <v>216</v>
      </c>
      <c r="B434" s="7" t="s">
        <v>34</v>
      </c>
      <c r="C434" s="6" t="s">
        <v>35</v>
      </c>
      <c r="D434" s="6" t="s">
        <v>36</v>
      </c>
      <c r="E434" s="6" t="s">
        <v>37</v>
      </c>
      <c r="F434" s="6" t="s">
        <v>22</v>
      </c>
      <c r="G434" s="8" t="s">
        <v>23</v>
      </c>
      <c r="H434" s="8">
        <v>12</v>
      </c>
      <c r="I434" s="2" t="s">
        <v>24</v>
      </c>
      <c r="J434" s="2" t="s">
        <v>25</v>
      </c>
      <c r="K434" s="4">
        <v>0.9</v>
      </c>
      <c r="L434" s="4">
        <v>1</v>
      </c>
      <c r="M434" s="2">
        <v>0.9</v>
      </c>
      <c r="N434" s="10" t="s">
        <v>38</v>
      </c>
      <c r="O434" s="6">
        <f>18.82*12</f>
        <v>225.84</v>
      </c>
    </row>
    <row r="435" spans="1:15" s="5" customFormat="1" x14ac:dyDescent="0.2">
      <c r="A435" s="6"/>
      <c r="B435" s="7"/>
      <c r="C435" s="6"/>
      <c r="D435" s="6"/>
      <c r="E435" s="6"/>
      <c r="F435" s="6"/>
      <c r="G435" s="9"/>
      <c r="H435" s="9"/>
      <c r="I435" s="2" t="s">
        <v>27</v>
      </c>
      <c r="J435" s="2" t="s">
        <v>28</v>
      </c>
      <c r="K435" s="4">
        <v>1.1000000000000001</v>
      </c>
      <c r="L435" s="4">
        <v>1</v>
      </c>
      <c r="M435" s="2">
        <v>1.1000000000000001</v>
      </c>
      <c r="N435" s="10"/>
      <c r="O435" s="6"/>
    </row>
    <row r="436" spans="1:15" s="5" customFormat="1" ht="14.45" customHeight="1" x14ac:dyDescent="0.2">
      <c r="A436" s="6">
        <v>217</v>
      </c>
      <c r="B436" s="7" t="s">
        <v>972</v>
      </c>
      <c r="C436" s="6" t="s">
        <v>973</v>
      </c>
      <c r="D436" s="6" t="s">
        <v>974</v>
      </c>
      <c r="E436" s="6" t="s">
        <v>975</v>
      </c>
      <c r="F436" s="6" t="s">
        <v>826</v>
      </c>
      <c r="G436" s="8" t="s">
        <v>23</v>
      </c>
      <c r="H436" s="8">
        <v>12</v>
      </c>
      <c r="I436" s="2" t="s">
        <v>24</v>
      </c>
      <c r="J436" s="2" t="s">
        <v>25</v>
      </c>
      <c r="K436" s="4">
        <v>0.9</v>
      </c>
      <c r="L436" s="4">
        <v>1</v>
      </c>
      <c r="M436" s="2">
        <v>0.9</v>
      </c>
      <c r="N436" s="10" t="s">
        <v>976</v>
      </c>
      <c r="O436" s="6">
        <f>39.89*12+1.14*12+1.26*12+1.07*12+0.21*12</f>
        <v>522.84</v>
      </c>
    </row>
    <row r="437" spans="1:15" s="5" customFormat="1" ht="27" customHeight="1" x14ac:dyDescent="0.2">
      <c r="A437" s="6"/>
      <c r="B437" s="7"/>
      <c r="C437" s="6"/>
      <c r="D437" s="6"/>
      <c r="E437" s="6"/>
      <c r="F437" s="6"/>
      <c r="G437" s="9"/>
      <c r="H437" s="9"/>
      <c r="I437" s="2" t="s">
        <v>27</v>
      </c>
      <c r="J437" s="2" t="s">
        <v>28</v>
      </c>
      <c r="K437" s="4">
        <v>1.1000000000000001</v>
      </c>
      <c r="L437" s="4">
        <v>1</v>
      </c>
      <c r="M437" s="2">
        <v>1.1000000000000001</v>
      </c>
      <c r="N437" s="10"/>
      <c r="O437" s="6"/>
    </row>
    <row r="438" spans="1:15" s="5" customFormat="1" ht="14.45" customHeight="1" x14ac:dyDescent="0.2">
      <c r="A438" s="6">
        <v>218</v>
      </c>
      <c r="B438" s="7" t="s">
        <v>485</v>
      </c>
      <c r="C438" s="6" t="s">
        <v>486</v>
      </c>
      <c r="D438" s="6" t="s">
        <v>487</v>
      </c>
      <c r="E438" s="6" t="s">
        <v>488</v>
      </c>
      <c r="F438" s="6" t="s">
        <v>22</v>
      </c>
      <c r="G438" s="8" t="s">
        <v>23</v>
      </c>
      <c r="H438" s="8">
        <v>12</v>
      </c>
      <c r="I438" s="2" t="s">
        <v>24</v>
      </c>
      <c r="J438" s="2" t="s">
        <v>25</v>
      </c>
      <c r="K438" s="4">
        <v>0.9</v>
      </c>
      <c r="L438" s="4">
        <v>1</v>
      </c>
      <c r="M438" s="2">
        <v>0.9</v>
      </c>
      <c r="N438" s="10" t="s">
        <v>489</v>
      </c>
      <c r="O438" s="6">
        <f>13.88*12</f>
        <v>166.56</v>
      </c>
    </row>
    <row r="439" spans="1:15" s="5" customFormat="1" x14ac:dyDescent="0.2">
      <c r="A439" s="6"/>
      <c r="B439" s="7"/>
      <c r="C439" s="6"/>
      <c r="D439" s="6"/>
      <c r="E439" s="6"/>
      <c r="F439" s="6"/>
      <c r="G439" s="9"/>
      <c r="H439" s="9"/>
      <c r="I439" s="2" t="s">
        <v>27</v>
      </c>
      <c r="J439" s="2" t="s">
        <v>28</v>
      </c>
      <c r="K439" s="4">
        <v>1.1000000000000001</v>
      </c>
      <c r="L439" s="4">
        <v>2</v>
      </c>
      <c r="M439" s="2">
        <v>2.2000000000000002</v>
      </c>
      <c r="N439" s="10"/>
      <c r="O439" s="6"/>
    </row>
    <row r="440" spans="1:15" s="5" customFormat="1" ht="14.45" customHeight="1" x14ac:dyDescent="0.2">
      <c r="A440" s="6">
        <v>219</v>
      </c>
      <c r="B440" s="7" t="s">
        <v>490</v>
      </c>
      <c r="C440" s="6" t="s">
        <v>491</v>
      </c>
      <c r="D440" s="6" t="s">
        <v>492</v>
      </c>
      <c r="E440" s="6" t="s">
        <v>493</v>
      </c>
      <c r="F440" s="6" t="s">
        <v>22</v>
      </c>
      <c r="G440" s="8" t="s">
        <v>23</v>
      </c>
      <c r="H440" s="8">
        <v>12</v>
      </c>
      <c r="I440" s="2" t="s">
        <v>24</v>
      </c>
      <c r="J440" s="2" t="s">
        <v>25</v>
      </c>
      <c r="K440" s="4">
        <v>0.9</v>
      </c>
      <c r="L440" s="4">
        <v>1</v>
      </c>
      <c r="M440" s="2">
        <v>0.9</v>
      </c>
      <c r="N440" s="10" t="s">
        <v>494</v>
      </c>
      <c r="O440" s="6">
        <f>20.5*12</f>
        <v>246</v>
      </c>
    </row>
    <row r="441" spans="1:15" s="5" customFormat="1" x14ac:dyDescent="0.2">
      <c r="A441" s="6"/>
      <c r="B441" s="7"/>
      <c r="C441" s="6"/>
      <c r="D441" s="6"/>
      <c r="E441" s="6"/>
      <c r="F441" s="6"/>
      <c r="G441" s="9"/>
      <c r="H441" s="9"/>
      <c r="I441" s="2" t="s">
        <v>27</v>
      </c>
      <c r="J441" s="2" t="s">
        <v>28</v>
      </c>
      <c r="K441" s="4">
        <v>1.1000000000000001</v>
      </c>
      <c r="L441" s="4">
        <v>2</v>
      </c>
      <c r="M441" s="2">
        <v>2.2000000000000002</v>
      </c>
      <c r="N441" s="10"/>
      <c r="O441" s="6"/>
    </row>
    <row r="442" spans="1:15" s="5" customFormat="1" ht="14.45" customHeight="1" x14ac:dyDescent="0.2">
      <c r="A442" s="6">
        <v>220</v>
      </c>
      <c r="B442" s="7" t="s">
        <v>495</v>
      </c>
      <c r="C442" s="6" t="s">
        <v>496</v>
      </c>
      <c r="D442" s="6" t="s">
        <v>497</v>
      </c>
      <c r="E442" s="6" t="s">
        <v>498</v>
      </c>
      <c r="F442" s="6" t="s">
        <v>22</v>
      </c>
      <c r="G442" s="8" t="s">
        <v>23</v>
      </c>
      <c r="H442" s="8">
        <v>12</v>
      </c>
      <c r="I442" s="2" t="s">
        <v>24</v>
      </c>
      <c r="J442" s="2" t="s">
        <v>25</v>
      </c>
      <c r="K442" s="4">
        <v>0.9</v>
      </c>
      <c r="L442" s="4">
        <v>1</v>
      </c>
      <c r="M442" s="2">
        <v>0.9</v>
      </c>
      <c r="N442" s="10" t="s">
        <v>499</v>
      </c>
      <c r="O442" s="6">
        <f>26.22*12+0.09*12</f>
        <v>315.71999999999997</v>
      </c>
    </row>
    <row r="443" spans="1:15" s="5" customFormat="1" x14ac:dyDescent="0.2">
      <c r="A443" s="6"/>
      <c r="B443" s="7"/>
      <c r="C443" s="6"/>
      <c r="D443" s="6"/>
      <c r="E443" s="6"/>
      <c r="F443" s="6"/>
      <c r="G443" s="9"/>
      <c r="H443" s="9"/>
      <c r="I443" s="2" t="s">
        <v>27</v>
      </c>
      <c r="J443" s="2" t="s">
        <v>28</v>
      </c>
      <c r="K443" s="4">
        <v>1.1000000000000001</v>
      </c>
      <c r="L443" s="4">
        <v>2</v>
      </c>
      <c r="M443" s="2">
        <v>2.2000000000000002</v>
      </c>
      <c r="N443" s="10"/>
      <c r="O443" s="6"/>
    </row>
    <row r="444" spans="1:15" s="5" customFormat="1" ht="25.5" x14ac:dyDescent="0.2">
      <c r="A444" s="2">
        <v>221</v>
      </c>
      <c r="B444" s="3" t="s">
        <v>500</v>
      </c>
      <c r="C444" s="2" t="s">
        <v>501</v>
      </c>
      <c r="D444" s="2" t="s">
        <v>502</v>
      </c>
      <c r="E444" s="2" t="s">
        <v>503</v>
      </c>
      <c r="F444" s="2" t="s">
        <v>22</v>
      </c>
      <c r="G444" s="2" t="s">
        <v>74</v>
      </c>
      <c r="H444" s="2">
        <v>12</v>
      </c>
      <c r="I444" s="2" t="s">
        <v>27</v>
      </c>
      <c r="J444" s="2" t="s">
        <v>28</v>
      </c>
      <c r="K444" s="4">
        <v>1.1000000000000001</v>
      </c>
      <c r="L444" s="4">
        <v>2</v>
      </c>
      <c r="M444" s="2">
        <v>2.2000000000000002</v>
      </c>
      <c r="N444" s="1" t="s">
        <v>504</v>
      </c>
      <c r="O444" s="2">
        <f>23.88*12</f>
        <v>286.56</v>
      </c>
    </row>
    <row r="445" spans="1:15" s="5" customFormat="1" ht="14.45" customHeight="1" x14ac:dyDescent="0.2">
      <c r="A445" s="6">
        <v>222</v>
      </c>
      <c r="B445" s="7" t="s">
        <v>943</v>
      </c>
      <c r="C445" s="6" t="s">
        <v>944</v>
      </c>
      <c r="D445" s="6" t="s">
        <v>945</v>
      </c>
      <c r="E445" s="6" t="s">
        <v>946</v>
      </c>
      <c r="F445" s="6" t="s">
        <v>826</v>
      </c>
      <c r="G445" s="8" t="s">
        <v>23</v>
      </c>
      <c r="H445" s="8">
        <v>68</v>
      </c>
      <c r="I445" s="2" t="s">
        <v>24</v>
      </c>
      <c r="J445" s="2" t="s">
        <v>25</v>
      </c>
      <c r="K445" s="4">
        <v>0.9</v>
      </c>
      <c r="L445" s="4">
        <v>1</v>
      </c>
      <c r="M445" s="2">
        <v>0.9</v>
      </c>
      <c r="N445" s="10" t="s">
        <v>947</v>
      </c>
      <c r="O445" s="6">
        <f>59.23*12+0.34*12+1.75*12+0.97*12+0.07*12+2.53*12</f>
        <v>778.68000000000006</v>
      </c>
    </row>
    <row r="446" spans="1:15" s="5" customFormat="1" ht="66.75" customHeight="1" x14ac:dyDescent="0.2">
      <c r="A446" s="6"/>
      <c r="B446" s="7"/>
      <c r="C446" s="6"/>
      <c r="D446" s="6"/>
      <c r="E446" s="6"/>
      <c r="F446" s="6"/>
      <c r="G446" s="9"/>
      <c r="H446" s="9"/>
      <c r="I446" s="2" t="s">
        <v>27</v>
      </c>
      <c r="J446" s="2" t="s">
        <v>28</v>
      </c>
      <c r="K446" s="4">
        <v>1.1000000000000001</v>
      </c>
      <c r="L446" s="4">
        <v>4</v>
      </c>
      <c r="M446" s="2">
        <v>4.4000000000000004</v>
      </c>
      <c r="N446" s="10"/>
      <c r="O446" s="6"/>
    </row>
    <row r="447" spans="1:15" s="5" customFormat="1" ht="14.45" customHeight="1" x14ac:dyDescent="0.2">
      <c r="A447" s="6">
        <v>223</v>
      </c>
      <c r="B447" s="7" t="s">
        <v>505</v>
      </c>
      <c r="C447" s="6" t="s">
        <v>506</v>
      </c>
      <c r="D447" s="6" t="s">
        <v>507</v>
      </c>
      <c r="E447" s="6" t="s">
        <v>508</v>
      </c>
      <c r="F447" s="6" t="s">
        <v>22</v>
      </c>
      <c r="G447" s="8" t="s">
        <v>23</v>
      </c>
      <c r="H447" s="8">
        <v>12</v>
      </c>
      <c r="I447" s="2" t="s">
        <v>24</v>
      </c>
      <c r="J447" s="2" t="s">
        <v>25</v>
      </c>
      <c r="K447" s="4">
        <v>0.9</v>
      </c>
      <c r="L447" s="4">
        <v>1</v>
      </c>
      <c r="M447" s="2">
        <v>0.9</v>
      </c>
      <c r="N447" s="10" t="s">
        <v>291</v>
      </c>
      <c r="O447" s="6">
        <f>25.39*12</f>
        <v>304.68</v>
      </c>
    </row>
    <row r="448" spans="1:15" s="5" customFormat="1" x14ac:dyDescent="0.2">
      <c r="A448" s="6"/>
      <c r="B448" s="7"/>
      <c r="C448" s="6"/>
      <c r="D448" s="6"/>
      <c r="E448" s="6"/>
      <c r="F448" s="6"/>
      <c r="G448" s="9"/>
      <c r="H448" s="9"/>
      <c r="I448" s="2" t="s">
        <v>27</v>
      </c>
      <c r="J448" s="2" t="s">
        <v>28</v>
      </c>
      <c r="K448" s="4">
        <v>1.1000000000000001</v>
      </c>
      <c r="L448" s="4">
        <v>1</v>
      </c>
      <c r="M448" s="2">
        <v>1.1000000000000001</v>
      </c>
      <c r="N448" s="10"/>
      <c r="O448" s="6"/>
    </row>
    <row r="449" spans="1:15" s="5" customFormat="1" ht="14.45" customHeight="1" x14ac:dyDescent="0.2">
      <c r="A449" s="6">
        <v>224</v>
      </c>
      <c r="B449" s="7" t="s">
        <v>509</v>
      </c>
      <c r="C449" s="6" t="s">
        <v>510</v>
      </c>
      <c r="D449" s="6" t="s">
        <v>511</v>
      </c>
      <c r="E449" s="6" t="s">
        <v>512</v>
      </c>
      <c r="F449" s="6" t="s">
        <v>22</v>
      </c>
      <c r="G449" s="8" t="s">
        <v>23</v>
      </c>
      <c r="H449" s="8">
        <v>12</v>
      </c>
      <c r="I449" s="2" t="s">
        <v>24</v>
      </c>
      <c r="J449" s="2" t="s">
        <v>25</v>
      </c>
      <c r="K449" s="4">
        <v>0.9</v>
      </c>
      <c r="L449" s="4">
        <v>1</v>
      </c>
      <c r="M449" s="2">
        <v>0.9</v>
      </c>
      <c r="N449" s="10" t="s">
        <v>291</v>
      </c>
      <c r="O449" s="6">
        <f>25.39*12</f>
        <v>304.68</v>
      </c>
    </row>
    <row r="450" spans="1:15" s="5" customFormat="1" x14ac:dyDescent="0.2">
      <c r="A450" s="6"/>
      <c r="B450" s="7"/>
      <c r="C450" s="6"/>
      <c r="D450" s="6"/>
      <c r="E450" s="6"/>
      <c r="F450" s="6"/>
      <c r="G450" s="9"/>
      <c r="H450" s="9"/>
      <c r="I450" s="2" t="s">
        <v>27</v>
      </c>
      <c r="J450" s="2" t="s">
        <v>28</v>
      </c>
      <c r="K450" s="4">
        <v>1.1000000000000001</v>
      </c>
      <c r="L450" s="4">
        <v>1</v>
      </c>
      <c r="M450" s="2">
        <v>1.1000000000000001</v>
      </c>
      <c r="N450" s="10"/>
      <c r="O450" s="6"/>
    </row>
    <row r="451" spans="1:15" s="5" customFormat="1" ht="14.45" customHeight="1" x14ac:dyDescent="0.2">
      <c r="A451" s="6">
        <v>225</v>
      </c>
      <c r="B451" s="7" t="s">
        <v>513</v>
      </c>
      <c r="C451" s="6" t="s">
        <v>514</v>
      </c>
      <c r="D451" s="6" t="s">
        <v>515</v>
      </c>
      <c r="E451" s="6" t="s">
        <v>516</v>
      </c>
      <c r="F451" s="6" t="s">
        <v>22</v>
      </c>
      <c r="G451" s="8" t="s">
        <v>23</v>
      </c>
      <c r="H451" s="8">
        <v>12</v>
      </c>
      <c r="I451" s="2" t="s">
        <v>24</v>
      </c>
      <c r="J451" s="2" t="s">
        <v>25</v>
      </c>
      <c r="K451" s="4">
        <v>0.9</v>
      </c>
      <c r="L451" s="4">
        <v>1</v>
      </c>
      <c r="M451" s="2">
        <v>0.9</v>
      </c>
      <c r="N451" s="10" t="s">
        <v>517</v>
      </c>
      <c r="O451" s="6">
        <f>22.33*12</f>
        <v>267.95999999999998</v>
      </c>
    </row>
    <row r="452" spans="1:15" s="5" customFormat="1" x14ac:dyDescent="0.2">
      <c r="A452" s="6"/>
      <c r="B452" s="7"/>
      <c r="C452" s="6"/>
      <c r="D452" s="6"/>
      <c r="E452" s="6"/>
      <c r="F452" s="6"/>
      <c r="G452" s="9"/>
      <c r="H452" s="9"/>
      <c r="I452" s="2" t="s">
        <v>27</v>
      </c>
      <c r="J452" s="2" t="s">
        <v>28</v>
      </c>
      <c r="K452" s="4">
        <v>1.1000000000000001</v>
      </c>
      <c r="L452" s="4">
        <v>2</v>
      </c>
      <c r="M452" s="2">
        <v>2.2000000000000002</v>
      </c>
      <c r="N452" s="10"/>
      <c r="O452" s="6"/>
    </row>
    <row r="453" spans="1:15" s="5" customFormat="1" ht="14.45" customHeight="1" x14ac:dyDescent="0.2">
      <c r="A453" s="6">
        <v>226</v>
      </c>
      <c r="B453" s="7" t="s">
        <v>518</v>
      </c>
      <c r="C453" s="6" t="s">
        <v>519</v>
      </c>
      <c r="D453" s="6" t="s">
        <v>520</v>
      </c>
      <c r="E453" s="6" t="s">
        <v>521</v>
      </c>
      <c r="F453" s="6" t="s">
        <v>22</v>
      </c>
      <c r="G453" s="8" t="s">
        <v>23</v>
      </c>
      <c r="H453" s="8">
        <v>12</v>
      </c>
      <c r="I453" s="2" t="s">
        <v>24</v>
      </c>
      <c r="J453" s="2" t="s">
        <v>25</v>
      </c>
      <c r="K453" s="4">
        <v>0.9</v>
      </c>
      <c r="L453" s="4">
        <v>1</v>
      </c>
      <c r="M453" s="2">
        <v>0.9</v>
      </c>
      <c r="N453" s="10" t="s">
        <v>522</v>
      </c>
      <c r="O453" s="6">
        <f>18.46*12</f>
        <v>221.52</v>
      </c>
    </row>
    <row r="454" spans="1:15" s="5" customFormat="1" x14ac:dyDescent="0.2">
      <c r="A454" s="6"/>
      <c r="B454" s="7"/>
      <c r="C454" s="6"/>
      <c r="D454" s="6"/>
      <c r="E454" s="6"/>
      <c r="F454" s="6"/>
      <c r="G454" s="9"/>
      <c r="H454" s="9"/>
      <c r="I454" s="2" t="s">
        <v>27</v>
      </c>
      <c r="J454" s="2" t="s">
        <v>28</v>
      </c>
      <c r="K454" s="4">
        <v>1.1000000000000001</v>
      </c>
      <c r="L454" s="4">
        <v>1</v>
      </c>
      <c r="M454" s="2">
        <v>1.1000000000000001</v>
      </c>
      <c r="N454" s="10"/>
      <c r="O454" s="6"/>
    </row>
    <row r="455" spans="1:15" s="5" customFormat="1" ht="14.45" customHeight="1" x14ac:dyDescent="0.2">
      <c r="A455" s="6">
        <v>227</v>
      </c>
      <c r="B455" s="7" t="s">
        <v>54</v>
      </c>
      <c r="C455" s="6" t="s">
        <v>55</v>
      </c>
      <c r="D455" s="6" t="s">
        <v>56</v>
      </c>
      <c r="E455" s="6" t="s">
        <v>57</v>
      </c>
      <c r="F455" s="6" t="s">
        <v>22</v>
      </c>
      <c r="G455" s="8" t="s">
        <v>23</v>
      </c>
      <c r="H455" s="8">
        <v>12</v>
      </c>
      <c r="I455" s="2" t="s">
        <v>24</v>
      </c>
      <c r="J455" s="2" t="s">
        <v>25</v>
      </c>
      <c r="K455" s="4">
        <v>0.9</v>
      </c>
      <c r="L455" s="4">
        <v>1</v>
      </c>
      <c r="M455" s="2">
        <v>0.9</v>
      </c>
      <c r="N455" s="10" t="s">
        <v>58</v>
      </c>
      <c r="O455" s="6">
        <f>21.43*12</f>
        <v>257.15999999999997</v>
      </c>
    </row>
    <row r="456" spans="1:15" s="5" customFormat="1" ht="16.5" customHeight="1" x14ac:dyDescent="0.2">
      <c r="A456" s="6"/>
      <c r="B456" s="7"/>
      <c r="C456" s="6"/>
      <c r="D456" s="6"/>
      <c r="E456" s="6"/>
      <c r="F456" s="6"/>
      <c r="G456" s="9"/>
      <c r="H456" s="9"/>
      <c r="I456" s="2" t="s">
        <v>27</v>
      </c>
      <c r="J456" s="2" t="s">
        <v>28</v>
      </c>
      <c r="K456" s="4">
        <v>1.1000000000000001</v>
      </c>
      <c r="L456" s="4">
        <v>1</v>
      </c>
      <c r="M456" s="2">
        <v>1.1000000000000001</v>
      </c>
      <c r="N456" s="10"/>
      <c r="O456" s="6"/>
    </row>
    <row r="457" spans="1:15" s="5" customFormat="1" ht="14.45" customHeight="1" x14ac:dyDescent="0.2">
      <c r="A457" s="6">
        <v>228</v>
      </c>
      <c r="B457" s="7" t="s">
        <v>523</v>
      </c>
      <c r="C457" s="6" t="s">
        <v>524</v>
      </c>
      <c r="D457" s="6" t="s">
        <v>525</v>
      </c>
      <c r="E457" s="6" t="s">
        <v>526</v>
      </c>
      <c r="F457" s="6" t="s">
        <v>22</v>
      </c>
      <c r="G457" s="8" t="s">
        <v>23</v>
      </c>
      <c r="H457" s="8">
        <v>12</v>
      </c>
      <c r="I457" s="2" t="s">
        <v>24</v>
      </c>
      <c r="J457" s="2" t="s">
        <v>25</v>
      </c>
      <c r="K457" s="4">
        <v>0.9</v>
      </c>
      <c r="L457" s="4">
        <v>1</v>
      </c>
      <c r="M457" s="2">
        <v>0.9</v>
      </c>
      <c r="N457" s="10" t="s">
        <v>527</v>
      </c>
      <c r="O457" s="6">
        <f>16.17*12</f>
        <v>194.04000000000002</v>
      </c>
    </row>
    <row r="458" spans="1:15" s="5" customFormat="1" x14ac:dyDescent="0.2">
      <c r="A458" s="6"/>
      <c r="B458" s="7"/>
      <c r="C458" s="6"/>
      <c r="D458" s="6"/>
      <c r="E458" s="6"/>
      <c r="F458" s="6"/>
      <c r="G458" s="9"/>
      <c r="H458" s="9"/>
      <c r="I458" s="2" t="s">
        <v>27</v>
      </c>
      <c r="J458" s="2" t="s">
        <v>28</v>
      </c>
      <c r="K458" s="4">
        <v>1.1000000000000001</v>
      </c>
      <c r="L458" s="4">
        <v>2</v>
      </c>
      <c r="M458" s="2">
        <v>2.2000000000000002</v>
      </c>
      <c r="N458" s="10"/>
      <c r="O458" s="6"/>
    </row>
    <row r="459" spans="1:15" s="5" customFormat="1" ht="14.45" customHeight="1" x14ac:dyDescent="0.2">
      <c r="A459" s="6">
        <v>229</v>
      </c>
      <c r="B459" s="7" t="s">
        <v>743</v>
      </c>
      <c r="C459" s="6" t="s">
        <v>744</v>
      </c>
      <c r="D459" s="6" t="s">
        <v>745</v>
      </c>
      <c r="E459" s="6" t="s">
        <v>746</v>
      </c>
      <c r="F459" s="6" t="s">
        <v>22</v>
      </c>
      <c r="G459" s="8" t="s">
        <v>74</v>
      </c>
      <c r="H459" s="8">
        <v>15</v>
      </c>
      <c r="I459" s="2" t="s">
        <v>24</v>
      </c>
      <c r="J459" s="2" t="s">
        <v>25</v>
      </c>
      <c r="K459" s="4">
        <v>0.9</v>
      </c>
      <c r="L459" s="4">
        <v>1</v>
      </c>
      <c r="M459" s="2">
        <v>0.9</v>
      </c>
      <c r="N459" s="10" t="s">
        <v>291</v>
      </c>
      <c r="O459" s="6">
        <f>25.39*12</f>
        <v>304.68</v>
      </c>
    </row>
    <row r="460" spans="1:15" s="5" customFormat="1" x14ac:dyDescent="0.2">
      <c r="A460" s="6"/>
      <c r="B460" s="7"/>
      <c r="C460" s="6"/>
      <c r="D460" s="6"/>
      <c r="E460" s="6"/>
      <c r="F460" s="6"/>
      <c r="G460" s="9"/>
      <c r="H460" s="9"/>
      <c r="I460" s="2" t="s">
        <v>27</v>
      </c>
      <c r="J460" s="2" t="s">
        <v>28</v>
      </c>
      <c r="K460" s="4">
        <v>1.1000000000000001</v>
      </c>
      <c r="L460" s="4">
        <v>1</v>
      </c>
      <c r="M460" s="2">
        <v>1.1000000000000001</v>
      </c>
      <c r="N460" s="10"/>
      <c r="O460" s="6"/>
    </row>
    <row r="461" spans="1:15" s="5" customFormat="1" ht="14.45" customHeight="1" x14ac:dyDescent="0.2">
      <c r="A461" s="6">
        <v>230</v>
      </c>
      <c r="B461" s="7" t="s">
        <v>528</v>
      </c>
      <c r="C461" s="6" t="s">
        <v>529</v>
      </c>
      <c r="D461" s="6" t="s">
        <v>530</v>
      </c>
      <c r="E461" s="6" t="s">
        <v>531</v>
      </c>
      <c r="F461" s="6" t="s">
        <v>22</v>
      </c>
      <c r="G461" s="8" t="s">
        <v>23</v>
      </c>
      <c r="H461" s="8">
        <v>12</v>
      </c>
      <c r="I461" s="2" t="s">
        <v>24</v>
      </c>
      <c r="J461" s="2" t="s">
        <v>25</v>
      </c>
      <c r="K461" s="4">
        <v>0.9</v>
      </c>
      <c r="L461" s="4">
        <v>1</v>
      </c>
      <c r="M461" s="2">
        <v>0.9</v>
      </c>
      <c r="N461" s="10" t="s">
        <v>532</v>
      </c>
      <c r="O461" s="6">
        <f>29.99*12</f>
        <v>359.88</v>
      </c>
    </row>
    <row r="462" spans="1:15" s="5" customFormat="1" x14ac:dyDescent="0.2">
      <c r="A462" s="6"/>
      <c r="B462" s="7"/>
      <c r="C462" s="6"/>
      <c r="D462" s="6"/>
      <c r="E462" s="6"/>
      <c r="F462" s="6"/>
      <c r="G462" s="9"/>
      <c r="H462" s="9"/>
      <c r="I462" s="2" t="s">
        <v>27</v>
      </c>
      <c r="J462" s="2" t="s">
        <v>28</v>
      </c>
      <c r="K462" s="4">
        <v>1.1000000000000001</v>
      </c>
      <c r="L462" s="4">
        <v>2</v>
      </c>
      <c r="M462" s="2">
        <v>2.2000000000000002</v>
      </c>
      <c r="N462" s="10"/>
      <c r="O462" s="6"/>
    </row>
    <row r="463" spans="1:15" s="5" customFormat="1" ht="25.5" x14ac:dyDescent="0.2">
      <c r="A463" s="2">
        <v>231</v>
      </c>
      <c r="B463" s="3" t="s">
        <v>747</v>
      </c>
      <c r="C463" s="2" t="s">
        <v>748</v>
      </c>
      <c r="D463" s="2" t="s">
        <v>749</v>
      </c>
      <c r="E463" s="2" t="s">
        <v>750</v>
      </c>
      <c r="F463" s="2" t="s">
        <v>22</v>
      </c>
      <c r="G463" s="2" t="s">
        <v>23</v>
      </c>
      <c r="H463" s="2">
        <v>12</v>
      </c>
      <c r="I463" s="2" t="s">
        <v>27</v>
      </c>
      <c r="J463" s="2" t="s">
        <v>28</v>
      </c>
      <c r="K463" s="4">
        <v>1.1000000000000001</v>
      </c>
      <c r="L463" s="4">
        <v>1</v>
      </c>
      <c r="M463" s="2">
        <v>1.1000000000000001</v>
      </c>
      <c r="N463" s="1" t="s">
        <v>291</v>
      </c>
      <c r="O463" s="2">
        <f>25.39*12</f>
        <v>304.68</v>
      </c>
    </row>
    <row r="464" spans="1:15" s="5" customFormat="1" ht="14.45" customHeight="1" x14ac:dyDescent="0.2">
      <c r="A464" s="6">
        <v>232</v>
      </c>
      <c r="B464" s="7" t="s">
        <v>533</v>
      </c>
      <c r="C464" s="6" t="s">
        <v>534</v>
      </c>
      <c r="D464" s="6" t="s">
        <v>535</v>
      </c>
      <c r="E464" s="6" t="s">
        <v>536</v>
      </c>
      <c r="F464" s="6" t="s">
        <v>22</v>
      </c>
      <c r="G464" s="8" t="s">
        <v>23</v>
      </c>
      <c r="H464" s="8">
        <v>12</v>
      </c>
      <c r="I464" s="2" t="s">
        <v>24</v>
      </c>
      <c r="J464" s="2" t="s">
        <v>25</v>
      </c>
      <c r="K464" s="4">
        <v>0.9</v>
      </c>
      <c r="L464" s="4">
        <v>1</v>
      </c>
      <c r="M464" s="2">
        <v>0.9</v>
      </c>
      <c r="N464" s="10" t="s">
        <v>537</v>
      </c>
      <c r="O464" s="6">
        <f>11.87*12</f>
        <v>142.44</v>
      </c>
    </row>
    <row r="465" spans="1:15" s="5" customFormat="1" x14ac:dyDescent="0.2">
      <c r="A465" s="6"/>
      <c r="B465" s="7"/>
      <c r="C465" s="6"/>
      <c r="D465" s="6"/>
      <c r="E465" s="6"/>
      <c r="F465" s="6"/>
      <c r="G465" s="9"/>
      <c r="H465" s="9"/>
      <c r="I465" s="2" t="s">
        <v>27</v>
      </c>
      <c r="J465" s="2" t="s">
        <v>28</v>
      </c>
      <c r="K465" s="4">
        <v>1.1000000000000001</v>
      </c>
      <c r="L465" s="4">
        <v>1</v>
      </c>
      <c r="M465" s="2">
        <v>1.1000000000000001</v>
      </c>
      <c r="N465" s="10"/>
      <c r="O465" s="6"/>
    </row>
    <row r="466" spans="1:15" s="5" customFormat="1" ht="14.45" customHeight="1" x14ac:dyDescent="0.2">
      <c r="A466" s="6">
        <v>233</v>
      </c>
      <c r="B466" s="7" t="s">
        <v>538</v>
      </c>
      <c r="C466" s="6" t="s">
        <v>539</v>
      </c>
      <c r="D466" s="6" t="s">
        <v>540</v>
      </c>
      <c r="E466" s="6" t="s">
        <v>541</v>
      </c>
      <c r="F466" s="6" t="s">
        <v>22</v>
      </c>
      <c r="G466" s="8" t="s">
        <v>23</v>
      </c>
      <c r="H466" s="8">
        <v>12</v>
      </c>
      <c r="I466" s="2" t="s">
        <v>24</v>
      </c>
      <c r="J466" s="2" t="s">
        <v>25</v>
      </c>
      <c r="K466" s="4">
        <v>0.9</v>
      </c>
      <c r="L466" s="4">
        <v>1</v>
      </c>
      <c r="M466" s="2">
        <v>0.9</v>
      </c>
      <c r="N466" s="10" t="s">
        <v>542</v>
      </c>
      <c r="O466" s="6">
        <f>19.18*12</f>
        <v>230.16</v>
      </c>
    </row>
    <row r="467" spans="1:15" s="5" customFormat="1" x14ac:dyDescent="0.2">
      <c r="A467" s="6"/>
      <c r="B467" s="7"/>
      <c r="C467" s="6"/>
      <c r="D467" s="6"/>
      <c r="E467" s="6"/>
      <c r="F467" s="6"/>
      <c r="G467" s="9"/>
      <c r="H467" s="9"/>
      <c r="I467" s="2" t="s">
        <v>27</v>
      </c>
      <c r="J467" s="2" t="s">
        <v>28</v>
      </c>
      <c r="K467" s="4">
        <v>1.1000000000000001</v>
      </c>
      <c r="L467" s="4">
        <v>1</v>
      </c>
      <c r="M467" s="2">
        <v>1.1000000000000001</v>
      </c>
      <c r="N467" s="10"/>
      <c r="O467" s="6"/>
    </row>
    <row r="468" spans="1:15" s="5" customFormat="1" ht="14.45" customHeight="1" x14ac:dyDescent="0.2">
      <c r="A468" s="6">
        <v>234</v>
      </c>
      <c r="B468" s="7" t="s">
        <v>29</v>
      </c>
      <c r="C468" s="6" t="s">
        <v>30</v>
      </c>
      <c r="D468" s="6" t="s">
        <v>31</v>
      </c>
      <c r="E468" s="6" t="s">
        <v>32</v>
      </c>
      <c r="F468" s="6" t="s">
        <v>22</v>
      </c>
      <c r="G468" s="8" t="s">
        <v>23</v>
      </c>
      <c r="H468" s="8">
        <v>12</v>
      </c>
      <c r="I468" s="2" t="s">
        <v>24</v>
      </c>
      <c r="J468" s="2" t="s">
        <v>25</v>
      </c>
      <c r="K468" s="4">
        <v>0.9</v>
      </c>
      <c r="L468" s="4">
        <v>1</v>
      </c>
      <c r="M468" s="2">
        <v>0.9</v>
      </c>
      <c r="N468" s="10" t="s">
        <v>33</v>
      </c>
      <c r="O468" s="6">
        <f>20.81*12</f>
        <v>249.71999999999997</v>
      </c>
    </row>
    <row r="469" spans="1:15" s="5" customFormat="1" x14ac:dyDescent="0.2">
      <c r="A469" s="6"/>
      <c r="B469" s="7"/>
      <c r="C469" s="6"/>
      <c r="D469" s="6"/>
      <c r="E469" s="6"/>
      <c r="F469" s="6"/>
      <c r="G469" s="9"/>
      <c r="H469" s="9"/>
      <c r="I469" s="2" t="s">
        <v>27</v>
      </c>
      <c r="J469" s="2" t="s">
        <v>28</v>
      </c>
      <c r="K469" s="4">
        <v>1.1000000000000001</v>
      </c>
      <c r="L469" s="4">
        <v>2</v>
      </c>
      <c r="M469" s="2">
        <v>2.2000000000000002</v>
      </c>
      <c r="N469" s="10"/>
      <c r="O469" s="6"/>
    </row>
    <row r="470" spans="1:15" s="5" customFormat="1" ht="25.5" x14ac:dyDescent="0.2">
      <c r="A470" s="2">
        <v>235</v>
      </c>
      <c r="B470" s="3" t="s">
        <v>1014</v>
      </c>
      <c r="C470" s="2" t="s">
        <v>1015</v>
      </c>
      <c r="D470" s="2" t="s">
        <v>1016</v>
      </c>
      <c r="E470" s="2" t="s">
        <v>1017</v>
      </c>
      <c r="F470" s="2" t="s">
        <v>22</v>
      </c>
      <c r="G470" s="2" t="s">
        <v>74</v>
      </c>
      <c r="H470" s="2">
        <v>12</v>
      </c>
      <c r="I470" s="2" t="s">
        <v>27</v>
      </c>
      <c r="J470" s="2" t="s">
        <v>28</v>
      </c>
      <c r="K470" s="4">
        <v>1.1000000000000001</v>
      </c>
      <c r="L470" s="4">
        <v>1</v>
      </c>
      <c r="M470" s="2">
        <v>1.1000000000000001</v>
      </c>
      <c r="N470" s="1" t="s">
        <v>110</v>
      </c>
      <c r="O470" s="2">
        <f>13.99*12</f>
        <v>167.88</v>
      </c>
    </row>
    <row r="471" spans="1:15" s="5" customFormat="1" ht="25.5" x14ac:dyDescent="0.2">
      <c r="A471" s="2">
        <v>236</v>
      </c>
      <c r="B471" s="3" t="s">
        <v>543</v>
      </c>
      <c r="C471" s="2" t="s">
        <v>544</v>
      </c>
      <c r="D471" s="2" t="s">
        <v>545</v>
      </c>
      <c r="E471" s="2" t="s">
        <v>546</v>
      </c>
      <c r="F471" s="2" t="s">
        <v>22</v>
      </c>
      <c r="G471" s="2" t="s">
        <v>74</v>
      </c>
      <c r="H471" s="2">
        <v>12</v>
      </c>
      <c r="I471" s="2" t="s">
        <v>27</v>
      </c>
      <c r="J471" s="2" t="s">
        <v>28</v>
      </c>
      <c r="K471" s="4">
        <v>1.1000000000000001</v>
      </c>
      <c r="L471" s="4">
        <v>1</v>
      </c>
      <c r="M471" s="2">
        <v>1.1000000000000001</v>
      </c>
      <c r="N471" s="1" t="s">
        <v>547</v>
      </c>
      <c r="O471" s="2">
        <f>6.99*12</f>
        <v>83.88</v>
      </c>
    </row>
    <row r="472" spans="1:15" s="5" customFormat="1" ht="25.5" x14ac:dyDescent="0.2">
      <c r="A472" s="19">
        <v>237</v>
      </c>
      <c r="B472" s="25" t="s">
        <v>548</v>
      </c>
      <c r="C472" s="2" t="s">
        <v>549</v>
      </c>
      <c r="D472" s="2" t="s">
        <v>550</v>
      </c>
      <c r="E472" s="2" t="s">
        <v>551</v>
      </c>
      <c r="F472" s="2" t="s">
        <v>22</v>
      </c>
      <c r="G472" s="2" t="s">
        <v>23</v>
      </c>
      <c r="H472" s="2">
        <v>9</v>
      </c>
      <c r="I472" s="2" t="s">
        <v>27</v>
      </c>
      <c r="J472" s="2" t="s">
        <v>28</v>
      </c>
      <c r="K472" s="4">
        <v>1.1000000000000001</v>
      </c>
      <c r="L472" s="4">
        <v>2</v>
      </c>
      <c r="M472" s="2">
        <v>2.2000000000000002</v>
      </c>
      <c r="N472" s="1" t="s">
        <v>552</v>
      </c>
      <c r="O472" s="2">
        <f>18.36*12+0.14*12</f>
        <v>222</v>
      </c>
    </row>
    <row r="473" spans="1:15" s="5" customFormat="1" ht="14.45" customHeight="1" x14ac:dyDescent="0.2">
      <c r="A473" s="6">
        <v>238</v>
      </c>
      <c r="B473" s="7" t="s">
        <v>39</v>
      </c>
      <c r="C473" s="6" t="s">
        <v>40</v>
      </c>
      <c r="D473" s="6" t="s">
        <v>41</v>
      </c>
      <c r="E473" s="6" t="s">
        <v>42</v>
      </c>
      <c r="F473" s="6" t="s">
        <v>22</v>
      </c>
      <c r="G473" s="8" t="s">
        <v>23</v>
      </c>
      <c r="H473" s="8">
        <v>15</v>
      </c>
      <c r="I473" s="2" t="s">
        <v>24</v>
      </c>
      <c r="J473" s="2" t="s">
        <v>25</v>
      </c>
      <c r="K473" s="4">
        <v>0.9</v>
      </c>
      <c r="L473" s="4">
        <v>1</v>
      </c>
      <c r="M473" s="2">
        <v>0.9</v>
      </c>
      <c r="N473" s="10" t="s">
        <v>43</v>
      </c>
      <c r="O473" s="6">
        <f>24.1*12+(0.07*12)</f>
        <v>290.04000000000002</v>
      </c>
    </row>
    <row r="474" spans="1:15" s="5" customFormat="1" ht="27" customHeight="1" x14ac:dyDescent="0.2">
      <c r="A474" s="6"/>
      <c r="B474" s="7"/>
      <c r="C474" s="6"/>
      <c r="D474" s="6"/>
      <c r="E474" s="6"/>
      <c r="F474" s="6"/>
      <c r="G474" s="9"/>
      <c r="H474" s="9"/>
      <c r="I474" s="2" t="s">
        <v>27</v>
      </c>
      <c r="J474" s="2" t="s">
        <v>28</v>
      </c>
      <c r="K474" s="4">
        <v>1.1000000000000001</v>
      </c>
      <c r="L474" s="4">
        <v>2</v>
      </c>
      <c r="M474" s="2">
        <v>2.2000000000000002</v>
      </c>
      <c r="N474" s="10"/>
      <c r="O474" s="6"/>
    </row>
    <row r="475" spans="1:15" s="5" customFormat="1" ht="25.5" x14ac:dyDescent="0.2">
      <c r="A475" s="2">
        <v>239</v>
      </c>
      <c r="B475" s="3" t="s">
        <v>553</v>
      </c>
      <c r="C475" s="2" t="s">
        <v>554</v>
      </c>
      <c r="D475" s="2" t="s">
        <v>555</v>
      </c>
      <c r="E475" s="2" t="s">
        <v>556</v>
      </c>
      <c r="F475" s="2" t="s">
        <v>22</v>
      </c>
      <c r="G475" s="2" t="s">
        <v>74</v>
      </c>
      <c r="H475" s="2">
        <v>12</v>
      </c>
      <c r="I475" s="2" t="s">
        <v>27</v>
      </c>
      <c r="J475" s="2" t="s">
        <v>335</v>
      </c>
      <c r="K475" s="4">
        <v>0.8</v>
      </c>
      <c r="L475" s="4">
        <v>1</v>
      </c>
      <c r="M475" s="2">
        <v>0.8</v>
      </c>
      <c r="N475" s="1" t="s">
        <v>424</v>
      </c>
      <c r="O475" s="2">
        <f>11.39*12</f>
        <v>136.68</v>
      </c>
    </row>
    <row r="476" spans="1:15" s="5" customFormat="1" ht="14.45" customHeight="1" x14ac:dyDescent="0.2">
      <c r="A476" s="6">
        <v>240</v>
      </c>
      <c r="B476" s="7" t="s">
        <v>557</v>
      </c>
      <c r="C476" s="6" t="s">
        <v>558</v>
      </c>
      <c r="D476" s="6" t="s">
        <v>559</v>
      </c>
      <c r="E476" s="6" t="s">
        <v>560</v>
      </c>
      <c r="F476" s="6" t="s">
        <v>22</v>
      </c>
      <c r="G476" s="8" t="s">
        <v>74</v>
      </c>
      <c r="H476" s="8">
        <v>27</v>
      </c>
      <c r="I476" s="2" t="s">
        <v>130</v>
      </c>
      <c r="J476" s="2" t="s">
        <v>131</v>
      </c>
      <c r="K476" s="4">
        <v>8</v>
      </c>
      <c r="L476" s="4">
        <v>1</v>
      </c>
      <c r="M476" s="2">
        <v>8</v>
      </c>
      <c r="N476" s="10" t="s">
        <v>561</v>
      </c>
      <c r="O476" s="6">
        <f>25.37*12</f>
        <v>304.44</v>
      </c>
    </row>
    <row r="477" spans="1:15" s="5" customFormat="1" x14ac:dyDescent="0.2">
      <c r="A477" s="6"/>
      <c r="B477" s="7"/>
      <c r="C477" s="6"/>
      <c r="D477" s="6"/>
      <c r="E477" s="6"/>
      <c r="F477" s="6"/>
      <c r="G477" s="20"/>
      <c r="H477" s="20"/>
      <c r="I477" s="2" t="s">
        <v>24</v>
      </c>
      <c r="J477" s="2" t="s">
        <v>25</v>
      </c>
      <c r="K477" s="4">
        <v>0.9</v>
      </c>
      <c r="L477" s="4">
        <v>1</v>
      </c>
      <c r="M477" s="2">
        <v>0.9</v>
      </c>
      <c r="N477" s="10"/>
      <c r="O477" s="6"/>
    </row>
    <row r="478" spans="1:15" s="5" customFormat="1" x14ac:dyDescent="0.2">
      <c r="A478" s="6"/>
      <c r="B478" s="7"/>
      <c r="C478" s="6"/>
      <c r="D478" s="6"/>
      <c r="E478" s="6"/>
      <c r="F478" s="6"/>
      <c r="G478" s="9"/>
      <c r="H478" s="9"/>
      <c r="I478" s="2" t="s">
        <v>27</v>
      </c>
      <c r="J478" s="2" t="s">
        <v>28</v>
      </c>
      <c r="K478" s="4">
        <v>1.1000000000000001</v>
      </c>
      <c r="L478" s="4">
        <v>1</v>
      </c>
      <c r="M478" s="2">
        <v>1.1000000000000001</v>
      </c>
      <c r="N478" s="10"/>
      <c r="O478" s="6"/>
    </row>
    <row r="479" spans="1:15" s="5" customFormat="1" ht="14.45" customHeight="1" x14ac:dyDescent="0.2">
      <c r="A479" s="6">
        <v>241</v>
      </c>
      <c r="B479" s="7" t="s">
        <v>44</v>
      </c>
      <c r="C479" s="6" t="s">
        <v>45</v>
      </c>
      <c r="D479" s="6" t="s">
        <v>46</v>
      </c>
      <c r="E479" s="6" t="s">
        <v>47</v>
      </c>
      <c r="F479" s="6" t="s">
        <v>22</v>
      </c>
      <c r="G479" s="8" t="s">
        <v>23</v>
      </c>
      <c r="H479" s="8">
        <v>12</v>
      </c>
      <c r="I479" s="2" t="s">
        <v>24</v>
      </c>
      <c r="J479" s="2" t="s">
        <v>25</v>
      </c>
      <c r="K479" s="4">
        <v>0.9</v>
      </c>
      <c r="L479" s="4">
        <v>1</v>
      </c>
      <c r="M479" s="2">
        <v>0.9</v>
      </c>
      <c r="N479" s="10" t="s">
        <v>48</v>
      </c>
      <c r="O479" s="6">
        <f>18.09*12</f>
        <v>217.07999999999998</v>
      </c>
    </row>
    <row r="480" spans="1:15" s="5" customFormat="1" x14ac:dyDescent="0.2">
      <c r="A480" s="6"/>
      <c r="B480" s="7"/>
      <c r="C480" s="6"/>
      <c r="D480" s="6"/>
      <c r="E480" s="6"/>
      <c r="F480" s="6"/>
      <c r="G480" s="9"/>
      <c r="H480" s="9"/>
      <c r="I480" s="2" t="s">
        <v>27</v>
      </c>
      <c r="J480" s="2" t="s">
        <v>28</v>
      </c>
      <c r="K480" s="4">
        <v>1.1000000000000001</v>
      </c>
      <c r="L480" s="4">
        <v>2</v>
      </c>
      <c r="M480" s="2">
        <v>2.2000000000000002</v>
      </c>
      <c r="N480" s="10"/>
      <c r="O480" s="6"/>
    </row>
    <row r="481" spans="1:15" s="5" customFormat="1" ht="14.45" customHeight="1" x14ac:dyDescent="0.2">
      <c r="A481" s="6">
        <v>242</v>
      </c>
      <c r="B481" s="7" t="s">
        <v>562</v>
      </c>
      <c r="C481" s="6" t="s">
        <v>563</v>
      </c>
      <c r="D481" s="6" t="s">
        <v>564</v>
      </c>
      <c r="E481" s="6" t="s">
        <v>565</v>
      </c>
      <c r="F481" s="6" t="s">
        <v>22</v>
      </c>
      <c r="G481" s="8" t="s">
        <v>23</v>
      </c>
      <c r="H481" s="8">
        <v>15</v>
      </c>
      <c r="I481" s="2" t="s">
        <v>130</v>
      </c>
      <c r="J481" s="2" t="s">
        <v>131</v>
      </c>
      <c r="K481" s="4">
        <v>8</v>
      </c>
      <c r="L481" s="4">
        <v>1</v>
      </c>
      <c r="M481" s="2">
        <v>8</v>
      </c>
      <c r="N481" s="10" t="s">
        <v>566</v>
      </c>
      <c r="O481" s="6">
        <f>17.11*12+0.07*12</f>
        <v>206.16</v>
      </c>
    </row>
    <row r="482" spans="1:15" s="5" customFormat="1" ht="26.25" customHeight="1" x14ac:dyDescent="0.2">
      <c r="A482" s="6"/>
      <c r="B482" s="7"/>
      <c r="C482" s="6"/>
      <c r="D482" s="6"/>
      <c r="E482" s="6"/>
      <c r="F482" s="6"/>
      <c r="G482" s="9"/>
      <c r="H482" s="9"/>
      <c r="I482" s="2" t="s">
        <v>27</v>
      </c>
      <c r="J482" s="2" t="s">
        <v>28</v>
      </c>
      <c r="K482" s="4">
        <v>1.1000000000000001</v>
      </c>
      <c r="L482" s="4">
        <v>1</v>
      </c>
      <c r="M482" s="2">
        <v>1.1000000000000001</v>
      </c>
      <c r="N482" s="10"/>
      <c r="O482" s="6"/>
    </row>
    <row r="483" spans="1:15" s="5" customFormat="1" ht="14.45" customHeight="1" x14ac:dyDescent="0.2">
      <c r="A483" s="6">
        <v>243</v>
      </c>
      <c r="B483" s="7" t="s">
        <v>567</v>
      </c>
      <c r="C483" s="6" t="s">
        <v>568</v>
      </c>
      <c r="D483" s="6" t="s">
        <v>569</v>
      </c>
      <c r="E483" s="6" t="s">
        <v>570</v>
      </c>
      <c r="F483" s="6" t="s">
        <v>22</v>
      </c>
      <c r="G483" s="8" t="s">
        <v>23</v>
      </c>
      <c r="H483" s="8">
        <v>27</v>
      </c>
      <c r="I483" s="2" t="s">
        <v>130</v>
      </c>
      <c r="J483" s="2" t="s">
        <v>131</v>
      </c>
      <c r="K483" s="4">
        <v>8</v>
      </c>
      <c r="L483" s="4">
        <v>1</v>
      </c>
      <c r="M483" s="2">
        <v>8</v>
      </c>
      <c r="N483" s="10" t="s">
        <v>571</v>
      </c>
      <c r="O483" s="6">
        <f>25.6*12</f>
        <v>307.20000000000005</v>
      </c>
    </row>
    <row r="484" spans="1:15" s="5" customFormat="1" x14ac:dyDescent="0.2">
      <c r="A484" s="6"/>
      <c r="B484" s="7"/>
      <c r="C484" s="6"/>
      <c r="D484" s="6"/>
      <c r="E484" s="6"/>
      <c r="F484" s="6"/>
      <c r="G484" s="20"/>
      <c r="H484" s="20"/>
      <c r="I484" s="2" t="s">
        <v>24</v>
      </c>
      <c r="J484" s="2" t="s">
        <v>25</v>
      </c>
      <c r="K484" s="4">
        <v>0.9</v>
      </c>
      <c r="L484" s="4">
        <v>1</v>
      </c>
      <c r="M484" s="2">
        <v>0.9</v>
      </c>
      <c r="N484" s="10"/>
      <c r="O484" s="6"/>
    </row>
    <row r="485" spans="1:15" s="5" customFormat="1" x14ac:dyDescent="0.2">
      <c r="A485" s="6"/>
      <c r="B485" s="7"/>
      <c r="C485" s="6"/>
      <c r="D485" s="6"/>
      <c r="E485" s="6"/>
      <c r="F485" s="6"/>
      <c r="G485" s="9"/>
      <c r="H485" s="9"/>
      <c r="I485" s="2" t="s">
        <v>27</v>
      </c>
      <c r="J485" s="2" t="s">
        <v>28</v>
      </c>
      <c r="K485" s="4">
        <v>1.1000000000000001</v>
      </c>
      <c r="L485" s="4">
        <v>2</v>
      </c>
      <c r="M485" s="2">
        <v>2.2000000000000002</v>
      </c>
      <c r="N485" s="10"/>
      <c r="O485" s="6"/>
    </row>
    <row r="486" spans="1:15" s="5" customFormat="1" ht="25.5" x14ac:dyDescent="0.2">
      <c r="A486" s="2">
        <v>244</v>
      </c>
      <c r="B486" s="3" t="s">
        <v>572</v>
      </c>
      <c r="C486" s="2" t="s">
        <v>573</v>
      </c>
      <c r="D486" s="2" t="s">
        <v>574</v>
      </c>
      <c r="E486" s="2" t="s">
        <v>575</v>
      </c>
      <c r="F486" s="2" t="s">
        <v>22</v>
      </c>
      <c r="G486" s="2" t="s">
        <v>74</v>
      </c>
      <c r="H486" s="2">
        <v>15</v>
      </c>
      <c r="I486" s="2" t="s">
        <v>27</v>
      </c>
      <c r="J486" s="2" t="s">
        <v>28</v>
      </c>
      <c r="K486" s="4">
        <v>1.1000000000000001</v>
      </c>
      <c r="L486" s="4">
        <v>1</v>
      </c>
      <c r="M486" s="2">
        <v>1.1000000000000001</v>
      </c>
      <c r="N486" s="1" t="s">
        <v>576</v>
      </c>
      <c r="O486" s="2">
        <f>10.12*12</f>
        <v>121.44</v>
      </c>
    </row>
    <row r="487" spans="1:15" s="5" customFormat="1" ht="14.45" customHeight="1" x14ac:dyDescent="0.2">
      <c r="A487" s="6">
        <v>245</v>
      </c>
      <c r="B487" s="7" t="s">
        <v>577</v>
      </c>
      <c r="C487" s="6" t="s">
        <v>578</v>
      </c>
      <c r="D487" s="6" t="s">
        <v>579</v>
      </c>
      <c r="E487" s="6" t="s">
        <v>580</v>
      </c>
      <c r="F487" s="6" t="s">
        <v>22</v>
      </c>
      <c r="G487" s="8" t="s">
        <v>23</v>
      </c>
      <c r="H487" s="8">
        <v>15</v>
      </c>
      <c r="I487" s="2" t="s">
        <v>130</v>
      </c>
      <c r="J487" s="2" t="s">
        <v>131</v>
      </c>
      <c r="K487" s="4">
        <v>8</v>
      </c>
      <c r="L487" s="4">
        <v>1</v>
      </c>
      <c r="M487" s="2">
        <v>8</v>
      </c>
      <c r="N487" s="10" t="s">
        <v>581</v>
      </c>
      <c r="O487" s="6">
        <f>22.81*12</f>
        <v>273.71999999999997</v>
      </c>
    </row>
    <row r="488" spans="1:15" s="5" customFormat="1" x14ac:dyDescent="0.2">
      <c r="A488" s="6"/>
      <c r="B488" s="7"/>
      <c r="C488" s="6"/>
      <c r="D488" s="6"/>
      <c r="E488" s="6"/>
      <c r="F488" s="6"/>
      <c r="G488" s="9"/>
      <c r="H488" s="9"/>
      <c r="I488" s="2" t="s">
        <v>27</v>
      </c>
      <c r="J488" s="2" t="s">
        <v>131</v>
      </c>
      <c r="K488" s="4">
        <v>8</v>
      </c>
      <c r="L488" s="4">
        <v>1</v>
      </c>
      <c r="M488" s="2">
        <v>8</v>
      </c>
      <c r="N488" s="10"/>
      <c r="O488" s="6"/>
    </row>
    <row r="489" spans="1:15" s="5" customFormat="1" ht="14.45" customHeight="1" x14ac:dyDescent="0.2">
      <c r="A489" s="6">
        <v>246</v>
      </c>
      <c r="B489" s="7" t="s">
        <v>582</v>
      </c>
      <c r="C489" s="6" t="s">
        <v>583</v>
      </c>
      <c r="D489" s="6" t="s">
        <v>584</v>
      </c>
      <c r="E489" s="6" t="s">
        <v>585</v>
      </c>
      <c r="F489" s="6" t="s">
        <v>22</v>
      </c>
      <c r="G489" s="8" t="s">
        <v>74</v>
      </c>
      <c r="H489" s="8">
        <v>15</v>
      </c>
      <c r="I489" s="2" t="s">
        <v>130</v>
      </c>
      <c r="J489" s="2" t="s">
        <v>131</v>
      </c>
      <c r="K489" s="4">
        <v>8</v>
      </c>
      <c r="L489" s="4">
        <v>1</v>
      </c>
      <c r="M489" s="2">
        <v>8</v>
      </c>
      <c r="N489" s="10" t="s">
        <v>586</v>
      </c>
      <c r="O489" s="6">
        <f>19.91*12</f>
        <v>238.92000000000002</v>
      </c>
    </row>
    <row r="490" spans="1:15" s="5" customFormat="1" x14ac:dyDescent="0.2">
      <c r="A490" s="6"/>
      <c r="B490" s="7"/>
      <c r="C490" s="6"/>
      <c r="D490" s="6"/>
      <c r="E490" s="6"/>
      <c r="F490" s="6"/>
      <c r="G490" s="9"/>
      <c r="H490" s="9"/>
      <c r="I490" s="2" t="s">
        <v>27</v>
      </c>
      <c r="J490" s="2" t="s">
        <v>131</v>
      </c>
      <c r="K490" s="4">
        <v>8</v>
      </c>
      <c r="L490" s="4">
        <v>1</v>
      </c>
      <c r="M490" s="2">
        <v>8</v>
      </c>
      <c r="N490" s="10"/>
      <c r="O490" s="6"/>
    </row>
    <row r="491" spans="1:15" s="5" customFormat="1" ht="14.45" customHeight="1" x14ac:dyDescent="0.2">
      <c r="A491" s="6">
        <v>247</v>
      </c>
      <c r="B491" s="7" t="s">
        <v>587</v>
      </c>
      <c r="C491" s="6" t="s">
        <v>588</v>
      </c>
      <c r="D491" s="6" t="s">
        <v>589</v>
      </c>
      <c r="E491" s="6" t="s">
        <v>590</v>
      </c>
      <c r="F491" s="6" t="s">
        <v>22</v>
      </c>
      <c r="G491" s="8" t="s">
        <v>74</v>
      </c>
      <c r="H491" s="8">
        <v>15</v>
      </c>
      <c r="I491" s="2" t="s">
        <v>24</v>
      </c>
      <c r="J491" s="2" t="s">
        <v>25</v>
      </c>
      <c r="K491" s="4">
        <v>0.9</v>
      </c>
      <c r="L491" s="4">
        <v>1</v>
      </c>
      <c r="M491" s="2">
        <v>0.9</v>
      </c>
      <c r="N491" s="10" t="s">
        <v>291</v>
      </c>
      <c r="O491" s="6">
        <f>25.39*12</f>
        <v>304.68</v>
      </c>
    </row>
    <row r="492" spans="1:15" s="5" customFormat="1" x14ac:dyDescent="0.2">
      <c r="A492" s="6"/>
      <c r="B492" s="7"/>
      <c r="C492" s="6"/>
      <c r="D492" s="6"/>
      <c r="E492" s="6"/>
      <c r="F492" s="6"/>
      <c r="G492" s="9"/>
      <c r="H492" s="9"/>
      <c r="I492" s="2" t="s">
        <v>27</v>
      </c>
      <c r="J492" s="2" t="s">
        <v>28</v>
      </c>
      <c r="K492" s="4">
        <v>1.1000000000000001</v>
      </c>
      <c r="L492" s="4">
        <v>1</v>
      </c>
      <c r="M492" s="2">
        <v>1.1000000000000001</v>
      </c>
      <c r="N492" s="10"/>
      <c r="O492" s="6"/>
    </row>
    <row r="493" spans="1:15" s="5" customFormat="1" ht="14.45" customHeight="1" x14ac:dyDescent="0.2">
      <c r="A493" s="6">
        <v>248</v>
      </c>
      <c r="B493" s="7" t="s">
        <v>591</v>
      </c>
      <c r="C493" s="6" t="s">
        <v>592</v>
      </c>
      <c r="D493" s="6" t="s">
        <v>593</v>
      </c>
      <c r="E493" s="6" t="s">
        <v>594</v>
      </c>
      <c r="F493" s="6" t="s">
        <v>22</v>
      </c>
      <c r="G493" s="8" t="s">
        <v>23</v>
      </c>
      <c r="H493" s="8">
        <v>12</v>
      </c>
      <c r="I493" s="2" t="s">
        <v>24</v>
      </c>
      <c r="J493" s="2" t="s">
        <v>25</v>
      </c>
      <c r="K493" s="4">
        <v>0.9</v>
      </c>
      <c r="L493" s="4">
        <v>1</v>
      </c>
      <c r="M493" s="2">
        <v>0.9</v>
      </c>
      <c r="N493" s="10" t="s">
        <v>595</v>
      </c>
      <c r="O493" s="6">
        <f>19.98*12</f>
        <v>239.76</v>
      </c>
    </row>
    <row r="494" spans="1:15" s="5" customFormat="1" x14ac:dyDescent="0.2">
      <c r="A494" s="6"/>
      <c r="B494" s="7"/>
      <c r="C494" s="6"/>
      <c r="D494" s="6"/>
      <c r="E494" s="6"/>
      <c r="F494" s="6"/>
      <c r="G494" s="9"/>
      <c r="H494" s="9"/>
      <c r="I494" s="2" t="s">
        <v>27</v>
      </c>
      <c r="J494" s="2" t="s">
        <v>28</v>
      </c>
      <c r="K494" s="4">
        <v>1.1000000000000001</v>
      </c>
      <c r="L494" s="4">
        <v>2</v>
      </c>
      <c r="M494" s="2">
        <v>2.2000000000000002</v>
      </c>
      <c r="N494" s="10"/>
      <c r="O494" s="6"/>
    </row>
    <row r="495" spans="1:15" s="5" customFormat="1" ht="25.5" x14ac:dyDescent="0.2">
      <c r="A495" s="2">
        <v>249</v>
      </c>
      <c r="B495" s="3" t="s">
        <v>596</v>
      </c>
      <c r="C495" s="2" t="s">
        <v>597</v>
      </c>
      <c r="D495" s="2" t="s">
        <v>598</v>
      </c>
      <c r="E495" s="2" t="s">
        <v>599</v>
      </c>
      <c r="F495" s="2" t="s">
        <v>22</v>
      </c>
      <c r="G495" s="2" t="s">
        <v>23</v>
      </c>
      <c r="H495" s="2">
        <v>15</v>
      </c>
      <c r="I495" s="2" t="s">
        <v>130</v>
      </c>
      <c r="J495" s="2" t="s">
        <v>131</v>
      </c>
      <c r="K495" s="4">
        <v>8</v>
      </c>
      <c r="L495" s="4">
        <v>1</v>
      </c>
      <c r="M495" s="2">
        <v>8</v>
      </c>
      <c r="N495" s="1" t="s">
        <v>600</v>
      </c>
      <c r="O495" s="2">
        <f>37.42*12</f>
        <v>449.04</v>
      </c>
    </row>
    <row r="496" spans="1:15" s="5" customFormat="1" ht="25.5" x14ac:dyDescent="0.2">
      <c r="A496" s="2">
        <v>250</v>
      </c>
      <c r="B496" s="3" t="s">
        <v>601</v>
      </c>
      <c r="C496" s="2" t="s">
        <v>602</v>
      </c>
      <c r="D496" s="2" t="s">
        <v>603</v>
      </c>
      <c r="E496" s="2" t="s">
        <v>604</v>
      </c>
      <c r="F496" s="2" t="s">
        <v>22</v>
      </c>
      <c r="G496" s="2" t="s">
        <v>23</v>
      </c>
      <c r="H496" s="2">
        <v>12</v>
      </c>
      <c r="I496" s="2" t="s">
        <v>27</v>
      </c>
      <c r="J496" s="2" t="s">
        <v>28</v>
      </c>
      <c r="K496" s="4">
        <v>1.1000000000000001</v>
      </c>
      <c r="L496" s="4">
        <v>1</v>
      </c>
      <c r="M496" s="2">
        <v>1.1000000000000001</v>
      </c>
      <c r="N496" s="1" t="s">
        <v>605</v>
      </c>
      <c r="O496" s="2">
        <f>7.79*12</f>
        <v>93.48</v>
      </c>
    </row>
    <row r="497" spans="1:15" s="5" customFormat="1" ht="14.45" customHeight="1" x14ac:dyDescent="0.2">
      <c r="A497" s="6">
        <v>251</v>
      </c>
      <c r="B497" s="7" t="s">
        <v>606</v>
      </c>
      <c r="C497" s="6" t="s">
        <v>607</v>
      </c>
      <c r="D497" s="6" t="s">
        <v>608</v>
      </c>
      <c r="E497" s="6" t="s">
        <v>609</v>
      </c>
      <c r="F497" s="6" t="s">
        <v>22</v>
      </c>
      <c r="G497" s="8" t="s">
        <v>74</v>
      </c>
      <c r="H497" s="8">
        <v>12</v>
      </c>
      <c r="I497" s="2" t="s">
        <v>24</v>
      </c>
      <c r="J497" s="2" t="s">
        <v>25</v>
      </c>
      <c r="K497" s="4">
        <v>0.9</v>
      </c>
      <c r="L497" s="4">
        <v>1</v>
      </c>
      <c r="M497" s="2">
        <v>0.9</v>
      </c>
      <c r="N497" s="10" t="s">
        <v>610</v>
      </c>
      <c r="O497" s="6">
        <f>10.69*12</f>
        <v>128.28</v>
      </c>
    </row>
    <row r="498" spans="1:15" s="5" customFormat="1" x14ac:dyDescent="0.2">
      <c r="A498" s="6"/>
      <c r="B498" s="7"/>
      <c r="C498" s="6"/>
      <c r="D498" s="6"/>
      <c r="E498" s="6"/>
      <c r="F498" s="6"/>
      <c r="G498" s="9"/>
      <c r="H498" s="9"/>
      <c r="I498" s="2" t="s">
        <v>27</v>
      </c>
      <c r="J498" s="2" t="s">
        <v>28</v>
      </c>
      <c r="K498" s="4">
        <v>1.1000000000000001</v>
      </c>
      <c r="L498" s="4">
        <v>2</v>
      </c>
      <c r="M498" s="2">
        <v>2.2000000000000002</v>
      </c>
      <c r="N498" s="10"/>
      <c r="O498" s="6"/>
    </row>
    <row r="499" spans="1:15" s="5" customFormat="1" ht="14.45" customHeight="1" x14ac:dyDescent="0.2">
      <c r="A499" s="6">
        <v>252</v>
      </c>
      <c r="B499" s="7" t="s">
        <v>674</v>
      </c>
      <c r="C499" s="6" t="s">
        <v>675</v>
      </c>
      <c r="D499" s="6" t="s">
        <v>676</v>
      </c>
      <c r="E499" s="6" t="s">
        <v>677</v>
      </c>
      <c r="F499" s="6" t="s">
        <v>22</v>
      </c>
      <c r="G499" s="8" t="s">
        <v>74</v>
      </c>
      <c r="H499" s="8">
        <v>12</v>
      </c>
      <c r="I499" s="2" t="s">
        <v>24</v>
      </c>
      <c r="J499" s="2" t="s">
        <v>25</v>
      </c>
      <c r="K499" s="4">
        <v>0.9</v>
      </c>
      <c r="L499" s="4">
        <v>1</v>
      </c>
      <c r="M499" s="2">
        <v>0.9</v>
      </c>
      <c r="N499" s="10" t="s">
        <v>678</v>
      </c>
      <c r="O499" s="6">
        <f>22.28*12</f>
        <v>267.36</v>
      </c>
    </row>
    <row r="500" spans="1:15" s="5" customFormat="1" x14ac:dyDescent="0.2">
      <c r="A500" s="6"/>
      <c r="B500" s="7"/>
      <c r="C500" s="6"/>
      <c r="D500" s="6"/>
      <c r="E500" s="6"/>
      <c r="F500" s="6"/>
      <c r="G500" s="9"/>
      <c r="H500" s="9"/>
      <c r="I500" s="2" t="s">
        <v>27</v>
      </c>
      <c r="J500" s="2" t="s">
        <v>28</v>
      </c>
      <c r="K500" s="4">
        <v>1.1000000000000001</v>
      </c>
      <c r="L500" s="4">
        <v>1</v>
      </c>
      <c r="M500" s="2">
        <v>1.1000000000000001</v>
      </c>
      <c r="N500" s="10"/>
      <c r="O500" s="6"/>
    </row>
    <row r="501" spans="1:15" s="5" customFormat="1" ht="14.45" customHeight="1" x14ac:dyDescent="0.2">
      <c r="A501" s="6">
        <v>253</v>
      </c>
      <c r="B501" s="7" t="s">
        <v>679</v>
      </c>
      <c r="C501" s="6" t="s">
        <v>680</v>
      </c>
      <c r="D501" s="6" t="s">
        <v>681</v>
      </c>
      <c r="E501" s="6" t="s">
        <v>682</v>
      </c>
      <c r="F501" s="6" t="s">
        <v>22</v>
      </c>
      <c r="G501" s="8" t="s">
        <v>23</v>
      </c>
      <c r="H501" s="8">
        <v>12</v>
      </c>
      <c r="I501" s="2" t="s">
        <v>24</v>
      </c>
      <c r="J501" s="2" t="s">
        <v>25</v>
      </c>
      <c r="K501" s="4">
        <v>0.9</v>
      </c>
      <c r="L501" s="4">
        <v>1</v>
      </c>
      <c r="M501" s="2">
        <v>0.9</v>
      </c>
      <c r="N501" s="10" t="s">
        <v>683</v>
      </c>
      <c r="O501" s="6">
        <f>34.57*12+0.07*12</f>
        <v>415.68</v>
      </c>
    </row>
    <row r="502" spans="1:15" s="5" customFormat="1" ht="24" customHeight="1" x14ac:dyDescent="0.2">
      <c r="A502" s="6"/>
      <c r="B502" s="7"/>
      <c r="C502" s="6"/>
      <c r="D502" s="6"/>
      <c r="E502" s="6"/>
      <c r="F502" s="6"/>
      <c r="G502" s="9"/>
      <c r="H502" s="9"/>
      <c r="I502" s="2" t="s">
        <v>27</v>
      </c>
      <c r="J502" s="2" t="s">
        <v>28</v>
      </c>
      <c r="K502" s="4">
        <v>1.1000000000000001</v>
      </c>
      <c r="L502" s="4">
        <v>2</v>
      </c>
      <c r="M502" s="2">
        <v>2.2000000000000002</v>
      </c>
      <c r="N502" s="10"/>
      <c r="O502" s="6"/>
    </row>
    <row r="503" spans="1:15" s="5" customFormat="1" ht="14.45" customHeight="1" x14ac:dyDescent="0.2">
      <c r="A503" s="6">
        <v>254</v>
      </c>
      <c r="B503" s="7" t="s">
        <v>684</v>
      </c>
      <c r="C503" s="6" t="s">
        <v>685</v>
      </c>
      <c r="D503" s="6" t="s">
        <v>686</v>
      </c>
      <c r="E503" s="6" t="s">
        <v>687</v>
      </c>
      <c r="F503" s="6" t="s">
        <v>22</v>
      </c>
      <c r="G503" s="8" t="s">
        <v>23</v>
      </c>
      <c r="H503" s="8">
        <v>15</v>
      </c>
      <c r="I503" s="2" t="s">
        <v>24</v>
      </c>
      <c r="J503" s="2" t="s">
        <v>25</v>
      </c>
      <c r="K503" s="4">
        <v>0.9</v>
      </c>
      <c r="L503" s="4">
        <v>1</v>
      </c>
      <c r="M503" s="2">
        <v>0.9</v>
      </c>
      <c r="N503" s="10" t="s">
        <v>688</v>
      </c>
      <c r="O503" s="6">
        <f>44.24*12</f>
        <v>530.88</v>
      </c>
    </row>
    <row r="504" spans="1:15" s="5" customFormat="1" ht="24.75" customHeight="1" x14ac:dyDescent="0.2">
      <c r="A504" s="6"/>
      <c r="B504" s="7"/>
      <c r="C504" s="6"/>
      <c r="D504" s="6"/>
      <c r="E504" s="6"/>
      <c r="F504" s="6"/>
      <c r="G504" s="9"/>
      <c r="H504" s="9"/>
      <c r="I504" s="2" t="s">
        <v>27</v>
      </c>
      <c r="J504" s="2" t="s">
        <v>28</v>
      </c>
      <c r="K504" s="4">
        <v>1.1000000000000001</v>
      </c>
      <c r="L504" s="4">
        <v>2</v>
      </c>
      <c r="M504" s="2">
        <v>2.2000000000000002</v>
      </c>
      <c r="N504" s="10"/>
      <c r="O504" s="6"/>
    </row>
    <row r="505" spans="1:15" s="5" customFormat="1" ht="14.45" customHeight="1" x14ac:dyDescent="0.2">
      <c r="A505" s="6">
        <v>255</v>
      </c>
      <c r="B505" s="7" t="s">
        <v>689</v>
      </c>
      <c r="C505" s="6" t="s">
        <v>690</v>
      </c>
      <c r="D505" s="6" t="s">
        <v>691</v>
      </c>
      <c r="E505" s="6" t="s">
        <v>692</v>
      </c>
      <c r="F505" s="6" t="s">
        <v>22</v>
      </c>
      <c r="G505" s="8" t="s">
        <v>74</v>
      </c>
      <c r="H505" s="8">
        <v>15</v>
      </c>
      <c r="I505" s="2" t="s">
        <v>24</v>
      </c>
      <c r="J505" s="2" t="s">
        <v>25</v>
      </c>
      <c r="K505" s="4">
        <v>0.9</v>
      </c>
      <c r="L505" s="4">
        <v>1</v>
      </c>
      <c r="M505" s="2">
        <v>0.9</v>
      </c>
      <c r="N505" s="10" t="s">
        <v>693</v>
      </c>
      <c r="O505" s="6">
        <f>9.7*12+0.36*12</f>
        <v>120.72</v>
      </c>
    </row>
    <row r="506" spans="1:15" s="5" customFormat="1" x14ac:dyDescent="0.2">
      <c r="A506" s="6"/>
      <c r="B506" s="7"/>
      <c r="C506" s="6"/>
      <c r="D506" s="6"/>
      <c r="E506" s="6"/>
      <c r="F506" s="6"/>
      <c r="G506" s="9"/>
      <c r="H506" s="9"/>
      <c r="I506" s="2" t="s">
        <v>27</v>
      </c>
      <c r="J506" s="2" t="s">
        <v>28</v>
      </c>
      <c r="K506" s="4">
        <v>1.1000000000000001</v>
      </c>
      <c r="L506" s="4">
        <v>1</v>
      </c>
      <c r="M506" s="2">
        <v>1.1000000000000001</v>
      </c>
      <c r="N506" s="10"/>
      <c r="O506" s="6"/>
    </row>
    <row r="507" spans="1:15" s="5" customFormat="1" ht="14.45" customHeight="1" x14ac:dyDescent="0.2">
      <c r="A507" s="6">
        <v>256</v>
      </c>
      <c r="B507" s="7" t="s">
        <v>977</v>
      </c>
      <c r="C507" s="6" t="s">
        <v>978</v>
      </c>
      <c r="D507" s="6" t="s">
        <v>979</v>
      </c>
      <c r="E507" s="6" t="s">
        <v>980</v>
      </c>
      <c r="F507" s="6" t="s">
        <v>826</v>
      </c>
      <c r="G507" s="8" t="s">
        <v>23</v>
      </c>
      <c r="H507" s="8">
        <v>22</v>
      </c>
      <c r="I507" s="2" t="s">
        <v>24</v>
      </c>
      <c r="J507" s="2" t="s">
        <v>25</v>
      </c>
      <c r="K507" s="4">
        <v>0.9</v>
      </c>
      <c r="L507" s="4">
        <v>1</v>
      </c>
      <c r="M507" s="2">
        <v>0.9</v>
      </c>
      <c r="N507" s="10" t="s">
        <v>981</v>
      </c>
      <c r="O507" s="6">
        <f>52.86*12</f>
        <v>634.31999999999994</v>
      </c>
    </row>
    <row r="508" spans="1:15" s="5" customFormat="1" x14ac:dyDescent="0.2">
      <c r="A508" s="6"/>
      <c r="B508" s="7"/>
      <c r="C508" s="6"/>
      <c r="D508" s="6"/>
      <c r="E508" s="6"/>
      <c r="F508" s="6"/>
      <c r="G508" s="9"/>
      <c r="H508" s="9"/>
      <c r="I508" s="2" t="s">
        <v>27</v>
      </c>
      <c r="J508" s="2" t="s">
        <v>28</v>
      </c>
      <c r="K508" s="4">
        <v>1.1000000000000001</v>
      </c>
      <c r="L508" s="4">
        <v>2</v>
      </c>
      <c r="M508" s="2">
        <v>2.2000000000000002</v>
      </c>
      <c r="N508" s="10"/>
      <c r="O508" s="6"/>
    </row>
    <row r="509" spans="1:15" s="5" customFormat="1" ht="14.45" customHeight="1" x14ac:dyDescent="0.2">
      <c r="A509" s="6">
        <v>257</v>
      </c>
      <c r="B509" s="7" t="s">
        <v>982</v>
      </c>
      <c r="C509" s="6" t="s">
        <v>983</v>
      </c>
      <c r="D509" s="6" t="s">
        <v>984</v>
      </c>
      <c r="E509" s="6" t="s">
        <v>985</v>
      </c>
      <c r="F509" s="6" t="s">
        <v>826</v>
      </c>
      <c r="G509" s="8" t="s">
        <v>23</v>
      </c>
      <c r="H509" s="8">
        <v>22</v>
      </c>
      <c r="I509" s="2" t="s">
        <v>24</v>
      </c>
      <c r="J509" s="2" t="s">
        <v>25</v>
      </c>
      <c r="K509" s="4">
        <v>0.9</v>
      </c>
      <c r="L509" s="4">
        <v>1</v>
      </c>
      <c r="M509" s="2">
        <v>0.9</v>
      </c>
      <c r="N509" s="10" t="s">
        <v>986</v>
      </c>
      <c r="O509" s="6">
        <f>79.26*12+0.1*12</f>
        <v>952.32000000000016</v>
      </c>
    </row>
    <row r="510" spans="1:15" s="5" customFormat="1" x14ac:dyDescent="0.2">
      <c r="A510" s="6"/>
      <c r="B510" s="7"/>
      <c r="C510" s="6"/>
      <c r="D510" s="6"/>
      <c r="E510" s="6"/>
      <c r="F510" s="6"/>
      <c r="G510" s="9"/>
      <c r="H510" s="9"/>
      <c r="I510" s="2" t="s">
        <v>27</v>
      </c>
      <c r="J510" s="2" t="s">
        <v>28</v>
      </c>
      <c r="K510" s="4">
        <v>1.1000000000000001</v>
      </c>
      <c r="L510" s="4">
        <v>5</v>
      </c>
      <c r="M510" s="2">
        <v>5.5</v>
      </c>
      <c r="N510" s="10"/>
      <c r="O510" s="6"/>
    </row>
    <row r="511" spans="1:15" s="5" customFormat="1" ht="14.45" customHeight="1" x14ac:dyDescent="0.2">
      <c r="A511" s="6">
        <v>258</v>
      </c>
      <c r="B511" s="7" t="s">
        <v>987</v>
      </c>
      <c r="C511" s="6" t="s">
        <v>988</v>
      </c>
      <c r="D511" s="6" t="s">
        <v>989</v>
      </c>
      <c r="E511" s="6" t="s">
        <v>990</v>
      </c>
      <c r="F511" s="6" t="s">
        <v>826</v>
      </c>
      <c r="G511" s="8" t="s">
        <v>23</v>
      </c>
      <c r="H511" s="8">
        <v>9</v>
      </c>
      <c r="I511" s="2" t="s">
        <v>24</v>
      </c>
      <c r="J511" s="2" t="s">
        <v>25</v>
      </c>
      <c r="K511" s="4">
        <v>0.9</v>
      </c>
      <c r="L511" s="4">
        <v>1</v>
      </c>
      <c r="M511" s="2">
        <v>0.9</v>
      </c>
      <c r="N511" s="10" t="s">
        <v>991</v>
      </c>
      <c r="O511" s="6">
        <f>38.05*12+1.58*12</f>
        <v>475.55999999999995</v>
      </c>
    </row>
    <row r="512" spans="1:15" s="5" customFormat="1" x14ac:dyDescent="0.2">
      <c r="A512" s="6"/>
      <c r="B512" s="7"/>
      <c r="C512" s="6"/>
      <c r="D512" s="6"/>
      <c r="E512" s="6"/>
      <c r="F512" s="6"/>
      <c r="G512" s="9"/>
      <c r="H512" s="9"/>
      <c r="I512" s="2" t="s">
        <v>27</v>
      </c>
      <c r="J512" s="2" t="s">
        <v>28</v>
      </c>
      <c r="K512" s="4">
        <v>1.1000000000000001</v>
      </c>
      <c r="L512" s="4">
        <v>2</v>
      </c>
      <c r="M512" s="2">
        <v>2.2000000000000002</v>
      </c>
      <c r="N512" s="10"/>
      <c r="O512" s="6"/>
    </row>
    <row r="513" spans="1:15" s="5" customFormat="1" ht="14.45" customHeight="1" x14ac:dyDescent="0.2">
      <c r="A513" s="6">
        <v>259</v>
      </c>
      <c r="B513" s="7" t="s">
        <v>751</v>
      </c>
      <c r="C513" s="6" t="s">
        <v>752</v>
      </c>
      <c r="D513" s="6" t="s">
        <v>753</v>
      </c>
      <c r="E513" s="6" t="s">
        <v>754</v>
      </c>
      <c r="F513" s="6" t="s">
        <v>22</v>
      </c>
      <c r="G513" s="8" t="s">
        <v>23</v>
      </c>
      <c r="H513" s="8">
        <v>12</v>
      </c>
      <c r="I513" s="2" t="s">
        <v>24</v>
      </c>
      <c r="J513" s="2" t="s">
        <v>25</v>
      </c>
      <c r="K513" s="4">
        <v>0.9</v>
      </c>
      <c r="L513" s="4">
        <v>1</v>
      </c>
      <c r="M513" s="2">
        <v>0.9</v>
      </c>
      <c r="N513" s="10" t="s">
        <v>755</v>
      </c>
      <c r="O513" s="6">
        <f>19.04*12</f>
        <v>228.48</v>
      </c>
    </row>
    <row r="514" spans="1:15" s="5" customFormat="1" x14ac:dyDescent="0.2">
      <c r="A514" s="6"/>
      <c r="B514" s="7"/>
      <c r="C514" s="6"/>
      <c r="D514" s="6"/>
      <c r="E514" s="6"/>
      <c r="F514" s="6"/>
      <c r="G514" s="9"/>
      <c r="H514" s="9"/>
      <c r="I514" s="2" t="s">
        <v>27</v>
      </c>
      <c r="J514" s="2" t="s">
        <v>28</v>
      </c>
      <c r="K514" s="4">
        <v>1.1000000000000001</v>
      </c>
      <c r="L514" s="4">
        <v>2</v>
      </c>
      <c r="M514" s="2">
        <v>2.2000000000000002</v>
      </c>
      <c r="N514" s="10"/>
      <c r="O514" s="6"/>
    </row>
    <row r="515" spans="1:15" s="5" customFormat="1" ht="25.5" x14ac:dyDescent="0.2">
      <c r="A515" s="2">
        <v>260</v>
      </c>
      <c r="B515" s="3" t="s">
        <v>611</v>
      </c>
      <c r="C515" s="2" t="s">
        <v>612</v>
      </c>
      <c r="D515" s="2" t="s">
        <v>613</v>
      </c>
      <c r="E515" s="2" t="s">
        <v>614</v>
      </c>
      <c r="F515" s="2" t="s">
        <v>22</v>
      </c>
      <c r="G515" s="2" t="s">
        <v>23</v>
      </c>
      <c r="H515" s="2">
        <v>12</v>
      </c>
      <c r="I515" s="2" t="s">
        <v>27</v>
      </c>
      <c r="J515" s="2" t="s">
        <v>28</v>
      </c>
      <c r="K515" s="4">
        <v>1.1000000000000001</v>
      </c>
      <c r="L515" s="4">
        <v>2</v>
      </c>
      <c r="M515" s="2">
        <v>2.2000000000000002</v>
      </c>
      <c r="N515" s="1" t="s">
        <v>615</v>
      </c>
      <c r="O515" s="2">
        <f>13.75*12</f>
        <v>165</v>
      </c>
    </row>
    <row r="516" spans="1:15" s="5" customFormat="1" ht="14.45" customHeight="1" x14ac:dyDescent="0.2">
      <c r="A516" s="6">
        <v>261</v>
      </c>
      <c r="B516" s="7" t="s">
        <v>709</v>
      </c>
      <c r="C516" s="6" t="s">
        <v>710</v>
      </c>
      <c r="D516" s="6" t="s">
        <v>711</v>
      </c>
      <c r="E516" s="6" t="s">
        <v>712</v>
      </c>
      <c r="F516" s="6" t="s">
        <v>22</v>
      </c>
      <c r="G516" s="8" t="s">
        <v>23</v>
      </c>
      <c r="H516" s="8">
        <v>12</v>
      </c>
      <c r="I516" s="2" t="s">
        <v>24</v>
      </c>
      <c r="J516" s="2" t="s">
        <v>25</v>
      </c>
      <c r="K516" s="4">
        <v>0.9</v>
      </c>
      <c r="L516" s="4">
        <v>1</v>
      </c>
      <c r="M516" s="2">
        <v>0.9</v>
      </c>
      <c r="N516" s="10" t="s">
        <v>713</v>
      </c>
      <c r="O516" s="6">
        <f>35.09*12+1.98*12+0.15*12+3.2*12</f>
        <v>485.04000000000008</v>
      </c>
    </row>
    <row r="517" spans="1:15" s="5" customFormat="1" x14ac:dyDescent="0.2">
      <c r="A517" s="6"/>
      <c r="B517" s="7"/>
      <c r="C517" s="6"/>
      <c r="D517" s="6"/>
      <c r="E517" s="6"/>
      <c r="F517" s="6"/>
      <c r="G517" s="9"/>
      <c r="H517" s="9"/>
      <c r="I517" s="2" t="s">
        <v>27</v>
      </c>
      <c r="J517" s="2" t="s">
        <v>28</v>
      </c>
      <c r="K517" s="4">
        <v>1.1000000000000001</v>
      </c>
      <c r="L517" s="4">
        <v>2</v>
      </c>
      <c r="M517" s="2">
        <v>2.2000000000000002</v>
      </c>
      <c r="N517" s="10"/>
      <c r="O517" s="6"/>
    </row>
    <row r="518" spans="1:15" s="5" customFormat="1" ht="14.45" customHeight="1" x14ac:dyDescent="0.2">
      <c r="A518" s="6">
        <v>262</v>
      </c>
      <c r="B518" s="7" t="s">
        <v>616</v>
      </c>
      <c r="C518" s="6" t="s">
        <v>617</v>
      </c>
      <c r="D518" s="6" t="s">
        <v>618</v>
      </c>
      <c r="E518" s="6" t="s">
        <v>619</v>
      </c>
      <c r="F518" s="6" t="s">
        <v>22</v>
      </c>
      <c r="G518" s="8" t="s">
        <v>23</v>
      </c>
      <c r="H518" s="8">
        <v>27</v>
      </c>
      <c r="I518" s="2" t="s">
        <v>130</v>
      </c>
      <c r="J518" s="2" t="s">
        <v>131</v>
      </c>
      <c r="K518" s="4">
        <v>8</v>
      </c>
      <c r="L518" s="4">
        <v>0</v>
      </c>
      <c r="M518" s="2">
        <v>0</v>
      </c>
      <c r="N518" s="10" t="s">
        <v>620</v>
      </c>
      <c r="O518" s="6">
        <f>20.33*12</f>
        <v>243.95999999999998</v>
      </c>
    </row>
    <row r="519" spans="1:15" s="5" customFormat="1" x14ac:dyDescent="0.2">
      <c r="A519" s="6"/>
      <c r="B519" s="7"/>
      <c r="C519" s="6"/>
      <c r="D519" s="6"/>
      <c r="E519" s="6"/>
      <c r="F519" s="6"/>
      <c r="G519" s="20"/>
      <c r="H519" s="20"/>
      <c r="I519" s="2" t="s">
        <v>24</v>
      </c>
      <c r="J519" s="2" t="s">
        <v>25</v>
      </c>
      <c r="K519" s="4">
        <v>0.9</v>
      </c>
      <c r="L519" s="4">
        <v>1</v>
      </c>
      <c r="M519" s="2">
        <v>0.9</v>
      </c>
      <c r="N519" s="10"/>
      <c r="O519" s="6"/>
    </row>
    <row r="520" spans="1:15" s="5" customFormat="1" x14ac:dyDescent="0.2">
      <c r="A520" s="6"/>
      <c r="B520" s="7"/>
      <c r="C520" s="6"/>
      <c r="D520" s="6"/>
      <c r="E520" s="6"/>
      <c r="F520" s="6"/>
      <c r="G520" s="20"/>
      <c r="H520" s="20"/>
      <c r="I520" s="2" t="s">
        <v>27</v>
      </c>
      <c r="J520" s="2" t="s">
        <v>131</v>
      </c>
      <c r="K520" s="4">
        <v>8</v>
      </c>
      <c r="L520" s="4">
        <v>1</v>
      </c>
      <c r="M520" s="2">
        <v>8</v>
      </c>
      <c r="N520" s="10"/>
      <c r="O520" s="6"/>
    </row>
    <row r="521" spans="1:15" s="5" customFormat="1" x14ac:dyDescent="0.2">
      <c r="A521" s="6"/>
      <c r="B521" s="7"/>
      <c r="C521" s="6"/>
      <c r="D521" s="6"/>
      <c r="E521" s="6"/>
      <c r="F521" s="6"/>
      <c r="G521" s="9"/>
      <c r="H521" s="9"/>
      <c r="I521" s="2" t="s">
        <v>27</v>
      </c>
      <c r="J521" s="2" t="s">
        <v>28</v>
      </c>
      <c r="K521" s="4">
        <v>1.1000000000000001</v>
      </c>
      <c r="L521" s="4">
        <v>1</v>
      </c>
      <c r="M521" s="2">
        <v>1.1000000000000001</v>
      </c>
      <c r="N521" s="10"/>
      <c r="O521" s="6"/>
    </row>
    <row r="522" spans="1:15" s="5" customFormat="1" ht="25.5" x14ac:dyDescent="0.2">
      <c r="A522" s="2">
        <v>263</v>
      </c>
      <c r="B522" s="3" t="s">
        <v>714</v>
      </c>
      <c r="C522" s="2" t="s">
        <v>715</v>
      </c>
      <c r="D522" s="2" t="s">
        <v>716</v>
      </c>
      <c r="E522" s="2" t="s">
        <v>717</v>
      </c>
      <c r="F522" s="2" t="s">
        <v>22</v>
      </c>
      <c r="G522" s="2" t="s">
        <v>74</v>
      </c>
      <c r="H522" s="2">
        <v>15</v>
      </c>
      <c r="I522" s="2" t="s">
        <v>27</v>
      </c>
      <c r="J522" s="2" t="s">
        <v>28</v>
      </c>
      <c r="K522" s="4">
        <v>1.1000000000000001</v>
      </c>
      <c r="L522" s="4">
        <v>1</v>
      </c>
      <c r="M522" s="2">
        <v>1.1000000000000001</v>
      </c>
      <c r="N522" s="1" t="s">
        <v>718</v>
      </c>
      <c r="O522" s="2">
        <f>27.04*12</f>
        <v>324.48</v>
      </c>
    </row>
    <row r="523" spans="1:15" s="5" customFormat="1" ht="14.45" customHeight="1" x14ac:dyDescent="0.2">
      <c r="A523" s="6">
        <v>264</v>
      </c>
      <c r="B523" s="7" t="s">
        <v>992</v>
      </c>
      <c r="C523" s="6" t="s">
        <v>993</v>
      </c>
      <c r="D523" s="6" t="s">
        <v>994</v>
      </c>
      <c r="E523" s="6" t="s">
        <v>995</v>
      </c>
      <c r="F523" s="6" t="s">
        <v>826</v>
      </c>
      <c r="G523" s="8" t="s">
        <v>23</v>
      </c>
      <c r="H523" s="8">
        <v>10</v>
      </c>
      <c r="I523" s="2" t="s">
        <v>24</v>
      </c>
      <c r="J523" s="2" t="s">
        <v>25</v>
      </c>
      <c r="K523" s="4">
        <v>0.9</v>
      </c>
      <c r="L523" s="4">
        <v>1</v>
      </c>
      <c r="M523" s="2">
        <v>0.9</v>
      </c>
      <c r="N523" s="10" t="s">
        <v>996</v>
      </c>
      <c r="O523" s="6">
        <f>48.13*12+0.21*12</f>
        <v>580.08000000000004</v>
      </c>
    </row>
    <row r="524" spans="1:15" s="5" customFormat="1" x14ac:dyDescent="0.2">
      <c r="A524" s="6"/>
      <c r="B524" s="7"/>
      <c r="C524" s="6"/>
      <c r="D524" s="6"/>
      <c r="E524" s="6"/>
      <c r="F524" s="6"/>
      <c r="G524" s="9"/>
      <c r="H524" s="9"/>
      <c r="I524" s="2" t="s">
        <v>27</v>
      </c>
      <c r="J524" s="2" t="s">
        <v>28</v>
      </c>
      <c r="K524" s="4">
        <v>1.1000000000000001</v>
      </c>
      <c r="L524" s="4">
        <v>2</v>
      </c>
      <c r="M524" s="2">
        <v>2.2000000000000002</v>
      </c>
      <c r="N524" s="10"/>
      <c r="O524" s="6"/>
    </row>
    <row r="525" spans="1:15" s="5" customFormat="1" ht="14.45" customHeight="1" x14ac:dyDescent="0.2">
      <c r="A525" s="6">
        <v>265</v>
      </c>
      <c r="B525" s="7" t="s">
        <v>997</v>
      </c>
      <c r="C525" s="6" t="s">
        <v>998</v>
      </c>
      <c r="D525" s="6" t="s">
        <v>999</v>
      </c>
      <c r="E525" s="6" t="s">
        <v>1000</v>
      </c>
      <c r="F525" s="6" t="s">
        <v>826</v>
      </c>
      <c r="G525" s="8" t="s">
        <v>23</v>
      </c>
      <c r="H525" s="8">
        <v>24</v>
      </c>
      <c r="I525" s="2" t="s">
        <v>24</v>
      </c>
      <c r="J525" s="2" t="s">
        <v>25</v>
      </c>
      <c r="K525" s="4">
        <v>0.9</v>
      </c>
      <c r="L525" s="4">
        <v>2</v>
      </c>
      <c r="M525" s="2">
        <v>1.8</v>
      </c>
      <c r="N525" s="10" t="s">
        <v>1001</v>
      </c>
      <c r="O525" s="6">
        <f>114.96*12</f>
        <v>1379.52</v>
      </c>
    </row>
    <row r="526" spans="1:15" s="5" customFormat="1" x14ac:dyDescent="0.2">
      <c r="A526" s="6"/>
      <c r="B526" s="7"/>
      <c r="C526" s="6"/>
      <c r="D526" s="6"/>
      <c r="E526" s="6"/>
      <c r="F526" s="6"/>
      <c r="G526" s="9"/>
      <c r="H526" s="9"/>
      <c r="I526" s="2" t="s">
        <v>27</v>
      </c>
      <c r="J526" s="2" t="s">
        <v>28</v>
      </c>
      <c r="K526" s="4">
        <v>1.1000000000000001</v>
      </c>
      <c r="L526" s="4">
        <v>5</v>
      </c>
      <c r="M526" s="2">
        <v>5.5</v>
      </c>
      <c r="N526" s="10"/>
      <c r="O526" s="6"/>
    </row>
    <row r="527" spans="1:15" s="5" customFormat="1" ht="14.45" customHeight="1" x14ac:dyDescent="0.2">
      <c r="A527" s="6">
        <v>266</v>
      </c>
      <c r="B527" s="7" t="s">
        <v>794</v>
      </c>
      <c r="C527" s="6" t="s">
        <v>795</v>
      </c>
      <c r="D527" s="6" t="s">
        <v>796</v>
      </c>
      <c r="E527" s="6" t="s">
        <v>797</v>
      </c>
      <c r="F527" s="6" t="s">
        <v>22</v>
      </c>
      <c r="G527" s="8" t="s">
        <v>23</v>
      </c>
      <c r="H527" s="8">
        <v>12</v>
      </c>
      <c r="I527" s="2" t="s">
        <v>24</v>
      </c>
      <c r="J527" s="2" t="s">
        <v>25</v>
      </c>
      <c r="K527" s="4">
        <v>0.9</v>
      </c>
      <c r="L527" s="4">
        <v>1</v>
      </c>
      <c r="M527" s="2">
        <v>0.9</v>
      </c>
      <c r="N527" s="10" t="s">
        <v>798</v>
      </c>
      <c r="O527" s="6">
        <f>16.82*12</f>
        <v>201.84</v>
      </c>
    </row>
    <row r="528" spans="1:15" s="5" customFormat="1" x14ac:dyDescent="0.2">
      <c r="A528" s="6"/>
      <c r="B528" s="7"/>
      <c r="C528" s="6"/>
      <c r="D528" s="6"/>
      <c r="E528" s="6"/>
      <c r="F528" s="6"/>
      <c r="G528" s="9"/>
      <c r="H528" s="9"/>
      <c r="I528" s="2" t="s">
        <v>27</v>
      </c>
      <c r="J528" s="2" t="s">
        <v>28</v>
      </c>
      <c r="K528" s="4">
        <v>1.1000000000000001</v>
      </c>
      <c r="L528" s="4">
        <v>1</v>
      </c>
      <c r="M528" s="2">
        <v>1.1000000000000001</v>
      </c>
      <c r="N528" s="10"/>
      <c r="O528" s="6"/>
    </row>
    <row r="529" spans="1:15" s="5" customFormat="1" ht="14.45" customHeight="1" x14ac:dyDescent="0.2">
      <c r="A529" s="6">
        <v>267</v>
      </c>
      <c r="B529" s="7" t="s">
        <v>799</v>
      </c>
      <c r="C529" s="6" t="s">
        <v>800</v>
      </c>
      <c r="D529" s="6" t="s">
        <v>801</v>
      </c>
      <c r="E529" s="6" t="s">
        <v>802</v>
      </c>
      <c r="F529" s="6" t="s">
        <v>22</v>
      </c>
      <c r="G529" s="8" t="s">
        <v>23</v>
      </c>
      <c r="H529" s="8">
        <v>12</v>
      </c>
      <c r="I529" s="2" t="s">
        <v>24</v>
      </c>
      <c r="J529" s="2" t="s">
        <v>25</v>
      </c>
      <c r="K529" s="4">
        <v>0.9</v>
      </c>
      <c r="L529" s="4">
        <v>1</v>
      </c>
      <c r="M529" s="2">
        <v>0.9</v>
      </c>
      <c r="N529" s="10" t="s">
        <v>803</v>
      </c>
      <c r="O529" s="6">
        <f>21.57*12</f>
        <v>258.84000000000003</v>
      </c>
    </row>
    <row r="530" spans="1:15" s="5" customFormat="1" x14ac:dyDescent="0.2">
      <c r="A530" s="6"/>
      <c r="B530" s="7"/>
      <c r="C530" s="6"/>
      <c r="D530" s="6"/>
      <c r="E530" s="6"/>
      <c r="F530" s="6"/>
      <c r="G530" s="9"/>
      <c r="H530" s="9"/>
      <c r="I530" s="2" t="s">
        <v>27</v>
      </c>
      <c r="J530" s="2" t="s">
        <v>28</v>
      </c>
      <c r="K530" s="4">
        <v>1.1000000000000001</v>
      </c>
      <c r="L530" s="4">
        <v>1</v>
      </c>
      <c r="M530" s="2">
        <v>1.1000000000000001</v>
      </c>
      <c r="N530" s="10"/>
      <c r="O530" s="6"/>
    </row>
    <row r="531" spans="1:15" s="5" customFormat="1" ht="14.45" customHeight="1" x14ac:dyDescent="0.2">
      <c r="A531" s="6">
        <v>268</v>
      </c>
      <c r="B531" s="7" t="s">
        <v>813</v>
      </c>
      <c r="C531" s="6" t="s">
        <v>814</v>
      </c>
      <c r="D531" s="6" t="s">
        <v>815</v>
      </c>
      <c r="E531" s="6" t="s">
        <v>816</v>
      </c>
      <c r="F531" s="6" t="s">
        <v>22</v>
      </c>
      <c r="G531" s="8" t="s">
        <v>23</v>
      </c>
      <c r="H531" s="8">
        <v>12</v>
      </c>
      <c r="I531" s="2" t="s">
        <v>24</v>
      </c>
      <c r="J531" s="2" t="s">
        <v>25</v>
      </c>
      <c r="K531" s="4">
        <v>0.9</v>
      </c>
      <c r="L531" s="4">
        <v>1</v>
      </c>
      <c r="M531" s="2">
        <v>0.9</v>
      </c>
      <c r="N531" s="10" t="s">
        <v>817</v>
      </c>
      <c r="O531" s="6">
        <f>12.2*12</f>
        <v>146.39999999999998</v>
      </c>
    </row>
    <row r="532" spans="1:15" s="5" customFormat="1" x14ac:dyDescent="0.2">
      <c r="A532" s="6"/>
      <c r="B532" s="7"/>
      <c r="C532" s="6"/>
      <c r="D532" s="6"/>
      <c r="E532" s="6"/>
      <c r="F532" s="6"/>
      <c r="G532" s="9"/>
      <c r="H532" s="9"/>
      <c r="I532" s="2" t="s">
        <v>27</v>
      </c>
      <c r="J532" s="2" t="s">
        <v>28</v>
      </c>
      <c r="K532" s="4">
        <v>1.1000000000000001</v>
      </c>
      <c r="L532" s="4">
        <v>2</v>
      </c>
      <c r="M532" s="2">
        <v>2.2000000000000002</v>
      </c>
      <c r="N532" s="10"/>
      <c r="O532" s="6"/>
    </row>
    <row r="533" spans="1:15" x14ac:dyDescent="0.2">
      <c r="N533" s="27" t="s">
        <v>1344</v>
      </c>
      <c r="O533" s="2">
        <f>SUM(O5:O532)</f>
        <v>132282.35999999996</v>
      </c>
    </row>
  </sheetData>
  <mergeCells count="2315">
    <mergeCell ref="C509:C510"/>
    <mergeCell ref="D509:D510"/>
    <mergeCell ref="E509:E510"/>
    <mergeCell ref="F509:F510"/>
    <mergeCell ref="G445:G446"/>
    <mergeCell ref="H445:H446"/>
    <mergeCell ref="N445:N446"/>
    <mergeCell ref="O445:O446"/>
    <mergeCell ref="G420:G421"/>
    <mergeCell ref="H420:H421"/>
    <mergeCell ref="N420:N421"/>
    <mergeCell ref="O420:O421"/>
    <mergeCell ref="A445:A446"/>
    <mergeCell ref="B445:B446"/>
    <mergeCell ref="C445:C446"/>
    <mergeCell ref="D445:D446"/>
    <mergeCell ref="G511:G512"/>
    <mergeCell ref="H511:H512"/>
    <mergeCell ref="N511:N512"/>
    <mergeCell ref="O511:O512"/>
    <mergeCell ref="G509:G510"/>
    <mergeCell ref="H509:H510"/>
    <mergeCell ref="N509:N510"/>
    <mergeCell ref="O509:O510"/>
    <mergeCell ref="A511:A512"/>
    <mergeCell ref="B511:B512"/>
    <mergeCell ref="C511:C512"/>
    <mergeCell ref="D511:D512"/>
    <mergeCell ref="E511:E512"/>
    <mergeCell ref="F511:F512"/>
    <mergeCell ref="G507:G508"/>
    <mergeCell ref="H507:H508"/>
    <mergeCell ref="N507:N508"/>
    <mergeCell ref="O507:O508"/>
    <mergeCell ref="A509:A510"/>
    <mergeCell ref="B509:B510"/>
    <mergeCell ref="E377:E378"/>
    <mergeCell ref="F377:F378"/>
    <mergeCell ref="G373:G374"/>
    <mergeCell ref="H373:H374"/>
    <mergeCell ref="N373:N374"/>
    <mergeCell ref="O373:O374"/>
    <mergeCell ref="A375:A376"/>
    <mergeCell ref="B375:B376"/>
    <mergeCell ref="C375:C376"/>
    <mergeCell ref="D375:D376"/>
    <mergeCell ref="E375:E376"/>
    <mergeCell ref="F375:F376"/>
    <mergeCell ref="G436:G437"/>
    <mergeCell ref="H436:H437"/>
    <mergeCell ref="N436:N437"/>
    <mergeCell ref="O436:O437"/>
    <mergeCell ref="A507:A508"/>
    <mergeCell ref="B507:B508"/>
    <mergeCell ref="C507:C508"/>
    <mergeCell ref="D507:D508"/>
    <mergeCell ref="E507:E508"/>
    <mergeCell ref="F507:F508"/>
    <mergeCell ref="G377:G378"/>
    <mergeCell ref="H377:H378"/>
    <mergeCell ref="N377:N378"/>
    <mergeCell ref="O377:O378"/>
    <mergeCell ref="A436:A437"/>
    <mergeCell ref="B436:B437"/>
    <mergeCell ref="C436:C437"/>
    <mergeCell ref="D436:D437"/>
    <mergeCell ref="E436:E437"/>
    <mergeCell ref="F436:F437"/>
    <mergeCell ref="G283:G284"/>
    <mergeCell ref="H283:H284"/>
    <mergeCell ref="N283:N284"/>
    <mergeCell ref="O283:O284"/>
    <mergeCell ref="A373:A374"/>
    <mergeCell ref="B373:B374"/>
    <mergeCell ref="C373:C374"/>
    <mergeCell ref="D373:D374"/>
    <mergeCell ref="E373:E374"/>
    <mergeCell ref="F373:F374"/>
    <mergeCell ref="G291:G292"/>
    <mergeCell ref="H291:H292"/>
    <mergeCell ref="N291:N292"/>
    <mergeCell ref="O291:O292"/>
    <mergeCell ref="A283:A284"/>
    <mergeCell ref="B283:B284"/>
    <mergeCell ref="C283:C284"/>
    <mergeCell ref="D283:D284"/>
    <mergeCell ref="E283:E284"/>
    <mergeCell ref="F283:F284"/>
    <mergeCell ref="A291:A292"/>
    <mergeCell ref="B291:B292"/>
    <mergeCell ref="C291:C292"/>
    <mergeCell ref="D291:D292"/>
    <mergeCell ref="E291:E292"/>
    <mergeCell ref="F291:F292"/>
    <mergeCell ref="G360:G361"/>
    <mergeCell ref="H360:H361"/>
    <mergeCell ref="N360:N361"/>
    <mergeCell ref="O360:O361"/>
    <mergeCell ref="G348:G349"/>
    <mergeCell ref="H348:H349"/>
    <mergeCell ref="E445:E446"/>
    <mergeCell ref="F445:F446"/>
    <mergeCell ref="G400:G401"/>
    <mergeCell ref="H400:H401"/>
    <mergeCell ref="N400:N401"/>
    <mergeCell ref="O400:O401"/>
    <mergeCell ref="A420:A421"/>
    <mergeCell ref="B420:B421"/>
    <mergeCell ref="C420:C421"/>
    <mergeCell ref="D420:D421"/>
    <mergeCell ref="E420:E421"/>
    <mergeCell ref="F420:F421"/>
    <mergeCell ref="G398:G399"/>
    <mergeCell ref="H398:H399"/>
    <mergeCell ref="N398:N399"/>
    <mergeCell ref="O398:O399"/>
    <mergeCell ref="A400:A401"/>
    <mergeCell ref="B400:B401"/>
    <mergeCell ref="C400:C401"/>
    <mergeCell ref="D400:D401"/>
    <mergeCell ref="E400:E401"/>
    <mergeCell ref="F400:F401"/>
    <mergeCell ref="G442:G443"/>
    <mergeCell ref="H442:H443"/>
    <mergeCell ref="N442:N443"/>
    <mergeCell ref="O442:O443"/>
    <mergeCell ref="G440:G441"/>
    <mergeCell ref="H440:H441"/>
    <mergeCell ref="N440:N441"/>
    <mergeCell ref="O440:O441"/>
    <mergeCell ref="A442:A443"/>
    <mergeCell ref="B442:B443"/>
    <mergeCell ref="G396:G397"/>
    <mergeCell ref="H396:H397"/>
    <mergeCell ref="N396:N397"/>
    <mergeCell ref="O396:O397"/>
    <mergeCell ref="A398:A399"/>
    <mergeCell ref="B398:B399"/>
    <mergeCell ref="C398:C399"/>
    <mergeCell ref="D398:D399"/>
    <mergeCell ref="E398:E399"/>
    <mergeCell ref="F398:F399"/>
    <mergeCell ref="G362:G363"/>
    <mergeCell ref="H362:H363"/>
    <mergeCell ref="N362:N363"/>
    <mergeCell ref="O362:O363"/>
    <mergeCell ref="A396:A397"/>
    <mergeCell ref="B396:B397"/>
    <mergeCell ref="C396:C397"/>
    <mergeCell ref="D396:D397"/>
    <mergeCell ref="E396:E397"/>
    <mergeCell ref="F396:F397"/>
    <mergeCell ref="A362:A363"/>
    <mergeCell ref="B362:B363"/>
    <mergeCell ref="C362:C363"/>
    <mergeCell ref="D362:D363"/>
    <mergeCell ref="E362:E363"/>
    <mergeCell ref="F362:F363"/>
    <mergeCell ref="G394:G395"/>
    <mergeCell ref="H394:H395"/>
    <mergeCell ref="N394:N395"/>
    <mergeCell ref="O394:O395"/>
    <mergeCell ref="G392:G393"/>
    <mergeCell ref="H392:H393"/>
    <mergeCell ref="N289:N290"/>
    <mergeCell ref="O289:O290"/>
    <mergeCell ref="A322:A324"/>
    <mergeCell ref="B322:B324"/>
    <mergeCell ref="C322:C324"/>
    <mergeCell ref="D322:D324"/>
    <mergeCell ref="E322:E324"/>
    <mergeCell ref="F322:F324"/>
    <mergeCell ref="G335:G336"/>
    <mergeCell ref="H335:H336"/>
    <mergeCell ref="N335:N336"/>
    <mergeCell ref="O335:O336"/>
    <mergeCell ref="G325:G326"/>
    <mergeCell ref="H325:H326"/>
    <mergeCell ref="N325:N326"/>
    <mergeCell ref="O325:O326"/>
    <mergeCell ref="G320:G321"/>
    <mergeCell ref="H320:H321"/>
    <mergeCell ref="N320:N321"/>
    <mergeCell ref="O320:O321"/>
    <mergeCell ref="G274:G276"/>
    <mergeCell ref="H274:H276"/>
    <mergeCell ref="N274:N276"/>
    <mergeCell ref="O274:O276"/>
    <mergeCell ref="A289:A290"/>
    <mergeCell ref="B289:B290"/>
    <mergeCell ref="C289:C290"/>
    <mergeCell ref="D289:D290"/>
    <mergeCell ref="E289:E290"/>
    <mergeCell ref="F289:F290"/>
    <mergeCell ref="G272:G273"/>
    <mergeCell ref="H272:H273"/>
    <mergeCell ref="N272:N273"/>
    <mergeCell ref="O272:O273"/>
    <mergeCell ref="A274:A276"/>
    <mergeCell ref="B274:B276"/>
    <mergeCell ref="C274:C276"/>
    <mergeCell ref="D274:D276"/>
    <mergeCell ref="E274:E276"/>
    <mergeCell ref="F274:F276"/>
    <mergeCell ref="N278:N279"/>
    <mergeCell ref="O278:O279"/>
    <mergeCell ref="A281:A282"/>
    <mergeCell ref="B281:B282"/>
    <mergeCell ref="C281:C282"/>
    <mergeCell ref="D281:D282"/>
    <mergeCell ref="E281:E282"/>
    <mergeCell ref="F281:F282"/>
    <mergeCell ref="A278:A279"/>
    <mergeCell ref="B278:B279"/>
    <mergeCell ref="C278:C279"/>
    <mergeCell ref="D278:D279"/>
    <mergeCell ref="G270:G271"/>
    <mergeCell ref="H270:H271"/>
    <mergeCell ref="N270:N271"/>
    <mergeCell ref="O270:O271"/>
    <mergeCell ref="A272:A273"/>
    <mergeCell ref="B272:B273"/>
    <mergeCell ref="C272:C273"/>
    <mergeCell ref="D272:D273"/>
    <mergeCell ref="E272:E273"/>
    <mergeCell ref="F272:F273"/>
    <mergeCell ref="G261:G262"/>
    <mergeCell ref="H261:H262"/>
    <mergeCell ref="N261:N262"/>
    <mergeCell ref="O261:O262"/>
    <mergeCell ref="A270:A271"/>
    <mergeCell ref="B270:B271"/>
    <mergeCell ref="C270:C271"/>
    <mergeCell ref="D270:D271"/>
    <mergeCell ref="E270:E271"/>
    <mergeCell ref="F270:F271"/>
    <mergeCell ref="G265:G266"/>
    <mergeCell ref="H265:H266"/>
    <mergeCell ref="N265:N266"/>
    <mergeCell ref="O265:O266"/>
    <mergeCell ref="A265:A266"/>
    <mergeCell ref="B265:B266"/>
    <mergeCell ref="C265:C266"/>
    <mergeCell ref="D265:D266"/>
    <mergeCell ref="E265:E266"/>
    <mergeCell ref="F265:F266"/>
    <mergeCell ref="A261:A262"/>
    <mergeCell ref="B261:B262"/>
    <mergeCell ref="C261:C262"/>
    <mergeCell ref="D261:D262"/>
    <mergeCell ref="E261:E262"/>
    <mergeCell ref="F261:F262"/>
    <mergeCell ref="G242:G243"/>
    <mergeCell ref="H242:H243"/>
    <mergeCell ref="N242:N243"/>
    <mergeCell ref="O242:O243"/>
    <mergeCell ref="A244:A245"/>
    <mergeCell ref="B244:B245"/>
    <mergeCell ref="C244:C245"/>
    <mergeCell ref="D244:D245"/>
    <mergeCell ref="E244:E245"/>
    <mergeCell ref="F244:F245"/>
    <mergeCell ref="G259:G260"/>
    <mergeCell ref="H259:H260"/>
    <mergeCell ref="N259:N260"/>
    <mergeCell ref="O259:O260"/>
    <mergeCell ref="G257:G258"/>
    <mergeCell ref="H257:H258"/>
    <mergeCell ref="N257:N258"/>
    <mergeCell ref="O257:O258"/>
    <mergeCell ref="A259:A260"/>
    <mergeCell ref="B259:B260"/>
    <mergeCell ref="C259:C260"/>
    <mergeCell ref="D259:D260"/>
    <mergeCell ref="G189:G190"/>
    <mergeCell ref="H189:H190"/>
    <mergeCell ref="N189:N190"/>
    <mergeCell ref="O189:O190"/>
    <mergeCell ref="A242:A243"/>
    <mergeCell ref="B242:B243"/>
    <mergeCell ref="C242:C243"/>
    <mergeCell ref="D242:D243"/>
    <mergeCell ref="E242:E243"/>
    <mergeCell ref="F242:F243"/>
    <mergeCell ref="G187:G188"/>
    <mergeCell ref="H187:H188"/>
    <mergeCell ref="N187:N188"/>
    <mergeCell ref="O187:O188"/>
    <mergeCell ref="A189:A190"/>
    <mergeCell ref="B189:B190"/>
    <mergeCell ref="C189:C190"/>
    <mergeCell ref="D189:D190"/>
    <mergeCell ref="E189:E190"/>
    <mergeCell ref="F189:F190"/>
    <mergeCell ref="G238:G239"/>
    <mergeCell ref="H238:H239"/>
    <mergeCell ref="N238:N239"/>
    <mergeCell ref="O238:O239"/>
    <mergeCell ref="G236:G237"/>
    <mergeCell ref="H236:H237"/>
    <mergeCell ref="N236:N237"/>
    <mergeCell ref="O236:O237"/>
    <mergeCell ref="A238:A239"/>
    <mergeCell ref="B238:B239"/>
    <mergeCell ref="C238:C239"/>
    <mergeCell ref="D238:D239"/>
    <mergeCell ref="G167:G170"/>
    <mergeCell ref="H167:H170"/>
    <mergeCell ref="N167:N170"/>
    <mergeCell ref="O167:O170"/>
    <mergeCell ref="N171:N172"/>
    <mergeCell ref="O171:O172"/>
    <mergeCell ref="G179:G180"/>
    <mergeCell ref="H179:H180"/>
    <mergeCell ref="N179:N180"/>
    <mergeCell ref="O179:O180"/>
    <mergeCell ref="G177:G178"/>
    <mergeCell ref="H177:H178"/>
    <mergeCell ref="G185:G186"/>
    <mergeCell ref="H185:H186"/>
    <mergeCell ref="N185:N186"/>
    <mergeCell ref="O185:O186"/>
    <mergeCell ref="A187:A188"/>
    <mergeCell ref="B187:B188"/>
    <mergeCell ref="C187:C188"/>
    <mergeCell ref="D187:D188"/>
    <mergeCell ref="E187:E188"/>
    <mergeCell ref="F187:F188"/>
    <mergeCell ref="G183:G184"/>
    <mergeCell ref="H183:H184"/>
    <mergeCell ref="N183:N184"/>
    <mergeCell ref="O183:O184"/>
    <mergeCell ref="A185:A186"/>
    <mergeCell ref="B185:B186"/>
    <mergeCell ref="C185:C186"/>
    <mergeCell ref="D185:D186"/>
    <mergeCell ref="E185:E186"/>
    <mergeCell ref="F185:F186"/>
    <mergeCell ref="N158:N159"/>
    <mergeCell ref="O158:O159"/>
    <mergeCell ref="A160:A161"/>
    <mergeCell ref="B160:B161"/>
    <mergeCell ref="C160:C161"/>
    <mergeCell ref="D160:D161"/>
    <mergeCell ref="E160:E161"/>
    <mergeCell ref="F160:F161"/>
    <mergeCell ref="A158:A159"/>
    <mergeCell ref="B158:B159"/>
    <mergeCell ref="C158:C159"/>
    <mergeCell ref="D158:D159"/>
    <mergeCell ref="E158:E159"/>
    <mergeCell ref="F158:F159"/>
    <mergeCell ref="G164:G165"/>
    <mergeCell ref="H164:H165"/>
    <mergeCell ref="N164:N165"/>
    <mergeCell ref="O164:O165"/>
    <mergeCell ref="G162:G163"/>
    <mergeCell ref="H162:H163"/>
    <mergeCell ref="N162:N163"/>
    <mergeCell ref="O162:O163"/>
    <mergeCell ref="A164:A165"/>
    <mergeCell ref="B164:B165"/>
    <mergeCell ref="C164:C165"/>
    <mergeCell ref="D164:D165"/>
    <mergeCell ref="E164:E165"/>
    <mergeCell ref="F164:F165"/>
    <mergeCell ref="G531:G532"/>
    <mergeCell ref="H531:H532"/>
    <mergeCell ref="N531:N532"/>
    <mergeCell ref="O531:O532"/>
    <mergeCell ref="A335:A336"/>
    <mergeCell ref="B335:B336"/>
    <mergeCell ref="C335:C336"/>
    <mergeCell ref="D335:D336"/>
    <mergeCell ref="E335:E336"/>
    <mergeCell ref="F335:F336"/>
    <mergeCell ref="G173:G174"/>
    <mergeCell ref="H173:H174"/>
    <mergeCell ref="N173:N174"/>
    <mergeCell ref="O173:O174"/>
    <mergeCell ref="A531:A532"/>
    <mergeCell ref="B531:B532"/>
    <mergeCell ref="C531:C532"/>
    <mergeCell ref="D531:D532"/>
    <mergeCell ref="E531:E532"/>
    <mergeCell ref="F531:F532"/>
    <mergeCell ref="G529:G530"/>
    <mergeCell ref="H529:H530"/>
    <mergeCell ref="N529:N530"/>
    <mergeCell ref="O529:O530"/>
    <mergeCell ref="A173:A174"/>
    <mergeCell ref="B173:B174"/>
    <mergeCell ref="C173:C174"/>
    <mergeCell ref="D173:D174"/>
    <mergeCell ref="E173:E174"/>
    <mergeCell ref="F173:F174"/>
    <mergeCell ref="G527:G528"/>
    <mergeCell ref="H527:H528"/>
    <mergeCell ref="N527:N528"/>
    <mergeCell ref="O527:O528"/>
    <mergeCell ref="A529:A530"/>
    <mergeCell ref="B529:B530"/>
    <mergeCell ref="C529:C530"/>
    <mergeCell ref="D529:D530"/>
    <mergeCell ref="E529:E530"/>
    <mergeCell ref="F529:F530"/>
    <mergeCell ref="G366:G367"/>
    <mergeCell ref="H366:H367"/>
    <mergeCell ref="N366:N367"/>
    <mergeCell ref="O366:O367"/>
    <mergeCell ref="A527:A528"/>
    <mergeCell ref="B527:B528"/>
    <mergeCell ref="C527:C528"/>
    <mergeCell ref="D527:D528"/>
    <mergeCell ref="E527:E528"/>
    <mergeCell ref="F527:F528"/>
    <mergeCell ref="A366:A367"/>
    <mergeCell ref="B366:B367"/>
    <mergeCell ref="C366:C367"/>
    <mergeCell ref="D366:D367"/>
    <mergeCell ref="E366:E367"/>
    <mergeCell ref="F366:F367"/>
    <mergeCell ref="G513:G514"/>
    <mergeCell ref="H513:H514"/>
    <mergeCell ref="N513:N514"/>
    <mergeCell ref="O513:O514"/>
    <mergeCell ref="G459:G460"/>
    <mergeCell ref="H459:H460"/>
    <mergeCell ref="N459:N460"/>
    <mergeCell ref="O459:O460"/>
    <mergeCell ref="G318:G319"/>
    <mergeCell ref="H318:H319"/>
    <mergeCell ref="N318:N319"/>
    <mergeCell ref="O318:O319"/>
    <mergeCell ref="A320:A321"/>
    <mergeCell ref="B320:B321"/>
    <mergeCell ref="C320:C321"/>
    <mergeCell ref="D320:D321"/>
    <mergeCell ref="E320:E321"/>
    <mergeCell ref="F320:F321"/>
    <mergeCell ref="G358:G359"/>
    <mergeCell ref="H358:H359"/>
    <mergeCell ref="N358:N359"/>
    <mergeCell ref="O358:O359"/>
    <mergeCell ref="A318:A319"/>
    <mergeCell ref="B318:B319"/>
    <mergeCell ref="C318:C319"/>
    <mergeCell ref="D318:D319"/>
    <mergeCell ref="E318:E319"/>
    <mergeCell ref="F318:F319"/>
    <mergeCell ref="G356:G357"/>
    <mergeCell ref="H356:H357"/>
    <mergeCell ref="N356:N357"/>
    <mergeCell ref="O356:O357"/>
    <mergeCell ref="A358:A359"/>
    <mergeCell ref="B358:B359"/>
    <mergeCell ref="G322:G324"/>
    <mergeCell ref="H322:H324"/>
    <mergeCell ref="N322:N324"/>
    <mergeCell ref="O322:O324"/>
    <mergeCell ref="A346:A347"/>
    <mergeCell ref="B346:B347"/>
    <mergeCell ref="G278:G279"/>
    <mergeCell ref="H278:H279"/>
    <mergeCell ref="A513:A514"/>
    <mergeCell ref="B513:B514"/>
    <mergeCell ref="C513:C514"/>
    <mergeCell ref="D513:D514"/>
    <mergeCell ref="E513:E514"/>
    <mergeCell ref="F513:F514"/>
    <mergeCell ref="G337:G338"/>
    <mergeCell ref="H337:H338"/>
    <mergeCell ref="N337:N338"/>
    <mergeCell ref="O337:O338"/>
    <mergeCell ref="A459:A460"/>
    <mergeCell ref="B459:B460"/>
    <mergeCell ref="C459:C460"/>
    <mergeCell ref="D459:D460"/>
    <mergeCell ref="E459:E460"/>
    <mergeCell ref="F459:F460"/>
    <mergeCell ref="G327:G328"/>
    <mergeCell ref="H327:H328"/>
    <mergeCell ref="N327:N328"/>
    <mergeCell ref="O327:O328"/>
    <mergeCell ref="A337:A338"/>
    <mergeCell ref="B337:B338"/>
    <mergeCell ref="C337:C338"/>
    <mergeCell ref="D337:D338"/>
    <mergeCell ref="E337:E338"/>
    <mergeCell ref="F337:F338"/>
    <mergeCell ref="A352:A353"/>
    <mergeCell ref="B352:B353"/>
    <mergeCell ref="C352:C353"/>
    <mergeCell ref="D352:D353"/>
    <mergeCell ref="G516:G517"/>
    <mergeCell ref="H516:H517"/>
    <mergeCell ref="N516:N517"/>
    <mergeCell ref="O516:O517"/>
    <mergeCell ref="A167:A170"/>
    <mergeCell ref="B167:B170"/>
    <mergeCell ref="C167:C170"/>
    <mergeCell ref="D167:D170"/>
    <mergeCell ref="E167:E170"/>
    <mergeCell ref="F167:F170"/>
    <mergeCell ref="G354:G355"/>
    <mergeCell ref="H354:H355"/>
    <mergeCell ref="N354:N355"/>
    <mergeCell ref="O354:O355"/>
    <mergeCell ref="A516:A517"/>
    <mergeCell ref="B516:B517"/>
    <mergeCell ref="C516:C517"/>
    <mergeCell ref="D516:D517"/>
    <mergeCell ref="E516:E517"/>
    <mergeCell ref="F516:F517"/>
    <mergeCell ref="G352:G353"/>
    <mergeCell ref="H352:H353"/>
    <mergeCell ref="N352:N353"/>
    <mergeCell ref="O352:O353"/>
    <mergeCell ref="A354:A355"/>
    <mergeCell ref="B354:B355"/>
    <mergeCell ref="C354:C355"/>
    <mergeCell ref="D354:D355"/>
    <mergeCell ref="E354:E355"/>
    <mergeCell ref="F354:F355"/>
    <mergeCell ref="G171:G172"/>
    <mergeCell ref="H171:H172"/>
    <mergeCell ref="G505:G506"/>
    <mergeCell ref="H505:H506"/>
    <mergeCell ref="N505:N506"/>
    <mergeCell ref="O505:O506"/>
    <mergeCell ref="A171:A172"/>
    <mergeCell ref="B171:B172"/>
    <mergeCell ref="C171:C172"/>
    <mergeCell ref="D171:D172"/>
    <mergeCell ref="E171:E172"/>
    <mergeCell ref="F171:F172"/>
    <mergeCell ref="G503:G504"/>
    <mergeCell ref="H503:H504"/>
    <mergeCell ref="N503:N504"/>
    <mergeCell ref="O503:O504"/>
    <mergeCell ref="A505:A506"/>
    <mergeCell ref="B505:B506"/>
    <mergeCell ref="C505:C506"/>
    <mergeCell ref="D505:D506"/>
    <mergeCell ref="E505:E506"/>
    <mergeCell ref="F505:F506"/>
    <mergeCell ref="G501:G502"/>
    <mergeCell ref="H501:H502"/>
    <mergeCell ref="N501:N502"/>
    <mergeCell ref="O501:O502"/>
    <mergeCell ref="A503:A504"/>
    <mergeCell ref="B503:B504"/>
    <mergeCell ref="C503:C504"/>
    <mergeCell ref="D503:D504"/>
    <mergeCell ref="E503:E504"/>
    <mergeCell ref="F503:F504"/>
    <mergeCell ref="G499:G500"/>
    <mergeCell ref="H499:H500"/>
    <mergeCell ref="N499:N500"/>
    <mergeCell ref="O499:O500"/>
    <mergeCell ref="A501:A502"/>
    <mergeCell ref="B501:B502"/>
    <mergeCell ref="C501:C502"/>
    <mergeCell ref="D501:D502"/>
    <mergeCell ref="E501:E502"/>
    <mergeCell ref="F501:F502"/>
    <mergeCell ref="G370:G371"/>
    <mergeCell ref="H370:H371"/>
    <mergeCell ref="N370:N371"/>
    <mergeCell ref="O370:O371"/>
    <mergeCell ref="A499:A500"/>
    <mergeCell ref="B499:B500"/>
    <mergeCell ref="C499:C500"/>
    <mergeCell ref="D499:D500"/>
    <mergeCell ref="E499:E500"/>
    <mergeCell ref="F499:F500"/>
    <mergeCell ref="A370:A371"/>
    <mergeCell ref="B370:B371"/>
    <mergeCell ref="C370:C371"/>
    <mergeCell ref="D370:D371"/>
    <mergeCell ref="E370:E371"/>
    <mergeCell ref="F370:F371"/>
    <mergeCell ref="G426:G427"/>
    <mergeCell ref="H426:H427"/>
    <mergeCell ref="N426:N427"/>
    <mergeCell ref="O426:O427"/>
    <mergeCell ref="N493:N494"/>
    <mergeCell ref="O493:O494"/>
    <mergeCell ref="A497:A498"/>
    <mergeCell ref="B497:B498"/>
    <mergeCell ref="G428:G429"/>
    <mergeCell ref="H428:H429"/>
    <mergeCell ref="N428:N429"/>
    <mergeCell ref="O428:O429"/>
    <mergeCell ref="A333:A334"/>
    <mergeCell ref="B333:B334"/>
    <mergeCell ref="C333:C334"/>
    <mergeCell ref="D333:D334"/>
    <mergeCell ref="E333:E334"/>
    <mergeCell ref="F333:F334"/>
    <mergeCell ref="G390:G391"/>
    <mergeCell ref="H390:H391"/>
    <mergeCell ref="N390:N391"/>
    <mergeCell ref="O390:O391"/>
    <mergeCell ref="A428:A429"/>
    <mergeCell ref="B428:B429"/>
    <mergeCell ref="C428:C429"/>
    <mergeCell ref="D428:D429"/>
    <mergeCell ref="E428:E429"/>
    <mergeCell ref="F428:F429"/>
    <mergeCell ref="E352:E353"/>
    <mergeCell ref="F352:F353"/>
    <mergeCell ref="C346:C347"/>
    <mergeCell ref="D346:D347"/>
    <mergeCell ref="E346:E347"/>
    <mergeCell ref="F346:F347"/>
    <mergeCell ref="N348:N349"/>
    <mergeCell ref="O348:O349"/>
    <mergeCell ref="A360:A361"/>
    <mergeCell ref="B360:B361"/>
    <mergeCell ref="C360:C361"/>
    <mergeCell ref="D360:D361"/>
    <mergeCell ref="G518:G521"/>
    <mergeCell ref="H518:H521"/>
    <mergeCell ref="N518:N521"/>
    <mergeCell ref="O518:O521"/>
    <mergeCell ref="A301:A302"/>
    <mergeCell ref="B301:B302"/>
    <mergeCell ref="C301:C302"/>
    <mergeCell ref="D301:D302"/>
    <mergeCell ref="E301:E302"/>
    <mergeCell ref="F301:F302"/>
    <mergeCell ref="G497:G498"/>
    <mergeCell ref="H497:H498"/>
    <mergeCell ref="N497:N498"/>
    <mergeCell ref="O497:O498"/>
    <mergeCell ref="A518:A521"/>
    <mergeCell ref="B518:B521"/>
    <mergeCell ref="C518:C521"/>
    <mergeCell ref="D518:D521"/>
    <mergeCell ref="E518:E521"/>
    <mergeCell ref="F518:F521"/>
    <mergeCell ref="G493:G494"/>
    <mergeCell ref="H493:H494"/>
    <mergeCell ref="G333:G334"/>
    <mergeCell ref="H333:H334"/>
    <mergeCell ref="N333:N334"/>
    <mergeCell ref="O333:O334"/>
    <mergeCell ref="A426:A427"/>
    <mergeCell ref="B426:B427"/>
    <mergeCell ref="C426:C427"/>
    <mergeCell ref="D426:D427"/>
    <mergeCell ref="E426:E427"/>
    <mergeCell ref="F426:F427"/>
    <mergeCell ref="C497:C498"/>
    <mergeCell ref="D497:D498"/>
    <mergeCell ref="E497:E498"/>
    <mergeCell ref="F497:F498"/>
    <mergeCell ref="G491:G492"/>
    <mergeCell ref="H491:H492"/>
    <mergeCell ref="N491:N492"/>
    <mergeCell ref="O491:O492"/>
    <mergeCell ref="A493:A494"/>
    <mergeCell ref="B493:B494"/>
    <mergeCell ref="C493:C494"/>
    <mergeCell ref="D493:D494"/>
    <mergeCell ref="E493:E494"/>
    <mergeCell ref="F493:F494"/>
    <mergeCell ref="G489:G490"/>
    <mergeCell ref="H489:H490"/>
    <mergeCell ref="N489:N490"/>
    <mergeCell ref="O489:O490"/>
    <mergeCell ref="A491:A492"/>
    <mergeCell ref="B491:B492"/>
    <mergeCell ref="C491:C492"/>
    <mergeCell ref="D491:D492"/>
    <mergeCell ref="E491:E492"/>
    <mergeCell ref="F491:F492"/>
    <mergeCell ref="G487:G488"/>
    <mergeCell ref="H487:H488"/>
    <mergeCell ref="N487:N488"/>
    <mergeCell ref="O487:O488"/>
    <mergeCell ref="A489:A490"/>
    <mergeCell ref="B489:B490"/>
    <mergeCell ref="C489:C490"/>
    <mergeCell ref="D489:D490"/>
    <mergeCell ref="E489:E490"/>
    <mergeCell ref="F489:F490"/>
    <mergeCell ref="G483:G485"/>
    <mergeCell ref="H483:H485"/>
    <mergeCell ref="N483:N485"/>
    <mergeCell ref="O483:O485"/>
    <mergeCell ref="A487:A488"/>
    <mergeCell ref="B487:B488"/>
    <mergeCell ref="C487:C488"/>
    <mergeCell ref="D487:D488"/>
    <mergeCell ref="E487:E488"/>
    <mergeCell ref="F487:F488"/>
    <mergeCell ref="G481:G482"/>
    <mergeCell ref="H481:H482"/>
    <mergeCell ref="N481:N482"/>
    <mergeCell ref="O481:O482"/>
    <mergeCell ref="A483:A485"/>
    <mergeCell ref="B483:B485"/>
    <mergeCell ref="C483:C485"/>
    <mergeCell ref="D483:D485"/>
    <mergeCell ref="E483:E485"/>
    <mergeCell ref="F483:F485"/>
    <mergeCell ref="G476:G478"/>
    <mergeCell ref="H476:H478"/>
    <mergeCell ref="N476:N478"/>
    <mergeCell ref="O476:O478"/>
    <mergeCell ref="A481:A482"/>
    <mergeCell ref="B481:B482"/>
    <mergeCell ref="C481:C482"/>
    <mergeCell ref="D481:D482"/>
    <mergeCell ref="E481:E482"/>
    <mergeCell ref="F481:F482"/>
    <mergeCell ref="G479:G480"/>
    <mergeCell ref="H479:H480"/>
    <mergeCell ref="N479:N480"/>
    <mergeCell ref="O479:O480"/>
    <mergeCell ref="A479:A480"/>
    <mergeCell ref="B479:B480"/>
    <mergeCell ref="C479:C480"/>
    <mergeCell ref="D479:D480"/>
    <mergeCell ref="E479:E480"/>
    <mergeCell ref="F479:F480"/>
    <mergeCell ref="G466:G467"/>
    <mergeCell ref="H466:H467"/>
    <mergeCell ref="N466:N467"/>
    <mergeCell ref="O466:O467"/>
    <mergeCell ref="A476:A478"/>
    <mergeCell ref="B476:B478"/>
    <mergeCell ref="C476:C478"/>
    <mergeCell ref="D476:D478"/>
    <mergeCell ref="E476:E478"/>
    <mergeCell ref="F476:F478"/>
    <mergeCell ref="G464:G465"/>
    <mergeCell ref="H464:H465"/>
    <mergeCell ref="N464:N465"/>
    <mergeCell ref="O464:O465"/>
    <mergeCell ref="A466:A467"/>
    <mergeCell ref="B466:B467"/>
    <mergeCell ref="C466:C467"/>
    <mergeCell ref="D466:D467"/>
    <mergeCell ref="E466:E467"/>
    <mergeCell ref="F466:F467"/>
    <mergeCell ref="G473:G474"/>
    <mergeCell ref="H473:H474"/>
    <mergeCell ref="N473:N474"/>
    <mergeCell ref="O473:O474"/>
    <mergeCell ref="A473:A474"/>
    <mergeCell ref="B473:B474"/>
    <mergeCell ref="C473:C474"/>
    <mergeCell ref="D473:D474"/>
    <mergeCell ref="E473:E474"/>
    <mergeCell ref="F473:F474"/>
    <mergeCell ref="G468:G469"/>
    <mergeCell ref="H468:H469"/>
    <mergeCell ref="G461:G462"/>
    <mergeCell ref="H461:H462"/>
    <mergeCell ref="N461:N462"/>
    <mergeCell ref="O461:O462"/>
    <mergeCell ref="A464:A465"/>
    <mergeCell ref="B464:B465"/>
    <mergeCell ref="C464:C465"/>
    <mergeCell ref="D464:D465"/>
    <mergeCell ref="E464:E465"/>
    <mergeCell ref="F464:F465"/>
    <mergeCell ref="G457:G458"/>
    <mergeCell ref="H457:H458"/>
    <mergeCell ref="N457:N458"/>
    <mergeCell ref="O457:O458"/>
    <mergeCell ref="A461:A462"/>
    <mergeCell ref="B461:B462"/>
    <mergeCell ref="C461:C462"/>
    <mergeCell ref="D461:D462"/>
    <mergeCell ref="E461:E462"/>
    <mergeCell ref="F461:F462"/>
    <mergeCell ref="E447:E448"/>
    <mergeCell ref="F447:F448"/>
    <mergeCell ref="G453:G454"/>
    <mergeCell ref="H453:H454"/>
    <mergeCell ref="N453:N454"/>
    <mergeCell ref="O453:O454"/>
    <mergeCell ref="A457:A458"/>
    <mergeCell ref="B457:B458"/>
    <mergeCell ref="C457:C458"/>
    <mergeCell ref="D457:D458"/>
    <mergeCell ref="E457:E458"/>
    <mergeCell ref="F457:F458"/>
    <mergeCell ref="G451:G452"/>
    <mergeCell ref="H451:H452"/>
    <mergeCell ref="N451:N452"/>
    <mergeCell ref="O451:O452"/>
    <mergeCell ref="A453:A454"/>
    <mergeCell ref="B453:B454"/>
    <mergeCell ref="C453:C454"/>
    <mergeCell ref="D453:D454"/>
    <mergeCell ref="E453:E454"/>
    <mergeCell ref="F453:F454"/>
    <mergeCell ref="C438:C439"/>
    <mergeCell ref="D438:D439"/>
    <mergeCell ref="E438:E439"/>
    <mergeCell ref="F438:F439"/>
    <mergeCell ref="G434:G435"/>
    <mergeCell ref="H434:H435"/>
    <mergeCell ref="N434:N435"/>
    <mergeCell ref="O434:O435"/>
    <mergeCell ref="G449:G450"/>
    <mergeCell ref="H449:H450"/>
    <mergeCell ref="N449:N450"/>
    <mergeCell ref="O449:O450"/>
    <mergeCell ref="A451:A452"/>
    <mergeCell ref="B451:B452"/>
    <mergeCell ref="C451:C452"/>
    <mergeCell ref="D451:D452"/>
    <mergeCell ref="E451:E452"/>
    <mergeCell ref="F451:F452"/>
    <mergeCell ref="G447:G448"/>
    <mergeCell ref="H447:H448"/>
    <mergeCell ref="N447:N448"/>
    <mergeCell ref="O447:O448"/>
    <mergeCell ref="A449:A450"/>
    <mergeCell ref="B449:B450"/>
    <mergeCell ref="C449:C450"/>
    <mergeCell ref="D449:D450"/>
    <mergeCell ref="E449:E450"/>
    <mergeCell ref="F449:F450"/>
    <mergeCell ref="A447:A448"/>
    <mergeCell ref="B447:B448"/>
    <mergeCell ref="C447:C448"/>
    <mergeCell ref="D447:D448"/>
    <mergeCell ref="E432:E433"/>
    <mergeCell ref="F432:F433"/>
    <mergeCell ref="G418:G419"/>
    <mergeCell ref="H418:H419"/>
    <mergeCell ref="N418:N419"/>
    <mergeCell ref="O418:O419"/>
    <mergeCell ref="A430:A431"/>
    <mergeCell ref="B430:B431"/>
    <mergeCell ref="C430:C431"/>
    <mergeCell ref="D430:D431"/>
    <mergeCell ref="E430:E431"/>
    <mergeCell ref="F430:F431"/>
    <mergeCell ref="C442:C443"/>
    <mergeCell ref="D442:D443"/>
    <mergeCell ref="E442:E443"/>
    <mergeCell ref="F442:F443"/>
    <mergeCell ref="G438:G439"/>
    <mergeCell ref="H438:H439"/>
    <mergeCell ref="N438:N439"/>
    <mergeCell ref="O438:O439"/>
    <mergeCell ref="A440:A441"/>
    <mergeCell ref="B440:B441"/>
    <mergeCell ref="C440:C441"/>
    <mergeCell ref="D440:D441"/>
    <mergeCell ref="E440:E441"/>
    <mergeCell ref="F440:F441"/>
    <mergeCell ref="G432:G433"/>
    <mergeCell ref="H432:H433"/>
    <mergeCell ref="N432:N433"/>
    <mergeCell ref="O432:O433"/>
    <mergeCell ref="A438:A439"/>
    <mergeCell ref="B438:B439"/>
    <mergeCell ref="G416:G417"/>
    <mergeCell ref="H416:H417"/>
    <mergeCell ref="N416:N417"/>
    <mergeCell ref="O416:O417"/>
    <mergeCell ref="A418:A419"/>
    <mergeCell ref="B418:B419"/>
    <mergeCell ref="C418:C419"/>
    <mergeCell ref="D418:D419"/>
    <mergeCell ref="E418:E419"/>
    <mergeCell ref="F418:F419"/>
    <mergeCell ref="G414:G415"/>
    <mergeCell ref="H414:H415"/>
    <mergeCell ref="N414:N415"/>
    <mergeCell ref="O414:O415"/>
    <mergeCell ref="A416:A417"/>
    <mergeCell ref="B416:B417"/>
    <mergeCell ref="C416:C417"/>
    <mergeCell ref="D416:D417"/>
    <mergeCell ref="E416:E417"/>
    <mergeCell ref="F416:F417"/>
    <mergeCell ref="G412:G413"/>
    <mergeCell ref="H412:H413"/>
    <mergeCell ref="N412:N413"/>
    <mergeCell ref="O412:O413"/>
    <mergeCell ref="A414:A415"/>
    <mergeCell ref="B414:B415"/>
    <mergeCell ref="C414:C415"/>
    <mergeCell ref="D414:D415"/>
    <mergeCell ref="E414:E415"/>
    <mergeCell ref="F414:F415"/>
    <mergeCell ref="G410:G411"/>
    <mergeCell ref="H410:H411"/>
    <mergeCell ref="N410:N411"/>
    <mergeCell ref="O410:O411"/>
    <mergeCell ref="A412:A413"/>
    <mergeCell ref="B412:B413"/>
    <mergeCell ref="C412:C413"/>
    <mergeCell ref="D412:D413"/>
    <mergeCell ref="E412:E413"/>
    <mergeCell ref="F412:F413"/>
    <mergeCell ref="G404:G405"/>
    <mergeCell ref="H404:H405"/>
    <mergeCell ref="N404:N405"/>
    <mergeCell ref="O404:O405"/>
    <mergeCell ref="A410:A411"/>
    <mergeCell ref="B410:B411"/>
    <mergeCell ref="C410:C411"/>
    <mergeCell ref="D410:D411"/>
    <mergeCell ref="E410:E411"/>
    <mergeCell ref="F410:F411"/>
    <mergeCell ref="G402:G403"/>
    <mergeCell ref="H402:H403"/>
    <mergeCell ref="N402:N403"/>
    <mergeCell ref="O402:O403"/>
    <mergeCell ref="A404:A405"/>
    <mergeCell ref="B404:B405"/>
    <mergeCell ref="C404:C405"/>
    <mergeCell ref="D404:D405"/>
    <mergeCell ref="E404:E405"/>
    <mergeCell ref="F404:F405"/>
    <mergeCell ref="A402:A403"/>
    <mergeCell ref="B402:B403"/>
    <mergeCell ref="C402:C403"/>
    <mergeCell ref="D402:D403"/>
    <mergeCell ref="E402:E403"/>
    <mergeCell ref="F402:F403"/>
    <mergeCell ref="N392:N393"/>
    <mergeCell ref="O392:O393"/>
    <mergeCell ref="A394:A395"/>
    <mergeCell ref="B394:B395"/>
    <mergeCell ref="C394:C395"/>
    <mergeCell ref="D394:D395"/>
    <mergeCell ref="E394:E395"/>
    <mergeCell ref="F394:F395"/>
    <mergeCell ref="G387:G388"/>
    <mergeCell ref="H387:H388"/>
    <mergeCell ref="N387:N388"/>
    <mergeCell ref="O387:O388"/>
    <mergeCell ref="A392:A393"/>
    <mergeCell ref="B392:B393"/>
    <mergeCell ref="C392:C393"/>
    <mergeCell ref="D392:D393"/>
    <mergeCell ref="E392:E393"/>
    <mergeCell ref="F392:F393"/>
    <mergeCell ref="A390:A391"/>
    <mergeCell ref="B390:B391"/>
    <mergeCell ref="C390:C391"/>
    <mergeCell ref="D390:D391"/>
    <mergeCell ref="E390:E391"/>
    <mergeCell ref="F390:F391"/>
    <mergeCell ref="G385:G386"/>
    <mergeCell ref="H385:H386"/>
    <mergeCell ref="N385:N386"/>
    <mergeCell ref="O385:O386"/>
    <mergeCell ref="A387:A388"/>
    <mergeCell ref="B387:B388"/>
    <mergeCell ref="C387:C388"/>
    <mergeCell ref="D387:D388"/>
    <mergeCell ref="E387:E388"/>
    <mergeCell ref="F387:F388"/>
    <mergeCell ref="G383:G384"/>
    <mergeCell ref="H383:H384"/>
    <mergeCell ref="N383:N384"/>
    <mergeCell ref="O383:O384"/>
    <mergeCell ref="A385:A386"/>
    <mergeCell ref="B385:B386"/>
    <mergeCell ref="C385:C386"/>
    <mergeCell ref="D385:D386"/>
    <mergeCell ref="E385:E386"/>
    <mergeCell ref="F385:F386"/>
    <mergeCell ref="G381:G382"/>
    <mergeCell ref="H381:H382"/>
    <mergeCell ref="N381:N382"/>
    <mergeCell ref="O381:O382"/>
    <mergeCell ref="A383:A384"/>
    <mergeCell ref="B383:B384"/>
    <mergeCell ref="C383:C384"/>
    <mergeCell ref="D383:D384"/>
    <mergeCell ref="E383:E384"/>
    <mergeCell ref="F383:F384"/>
    <mergeCell ref="G368:G369"/>
    <mergeCell ref="H368:H369"/>
    <mergeCell ref="N368:N369"/>
    <mergeCell ref="O368:O369"/>
    <mergeCell ref="A381:A382"/>
    <mergeCell ref="B381:B382"/>
    <mergeCell ref="C381:C382"/>
    <mergeCell ref="D381:D382"/>
    <mergeCell ref="E381:E382"/>
    <mergeCell ref="F381:F382"/>
    <mergeCell ref="C379:C380"/>
    <mergeCell ref="D379:D380"/>
    <mergeCell ref="E379:E380"/>
    <mergeCell ref="F379:F380"/>
    <mergeCell ref="G375:G376"/>
    <mergeCell ref="H375:H376"/>
    <mergeCell ref="N375:N376"/>
    <mergeCell ref="O375:O376"/>
    <mergeCell ref="A377:A378"/>
    <mergeCell ref="B377:B378"/>
    <mergeCell ref="C377:C378"/>
    <mergeCell ref="D377:D378"/>
    <mergeCell ref="G364:G365"/>
    <mergeCell ref="H364:H365"/>
    <mergeCell ref="N364:N365"/>
    <mergeCell ref="O364:O365"/>
    <mergeCell ref="A368:A369"/>
    <mergeCell ref="B368:B369"/>
    <mergeCell ref="C368:C369"/>
    <mergeCell ref="D368:D369"/>
    <mergeCell ref="E368:E369"/>
    <mergeCell ref="F368:F369"/>
    <mergeCell ref="G350:G351"/>
    <mergeCell ref="H350:H351"/>
    <mergeCell ref="N350:N351"/>
    <mergeCell ref="O350:O351"/>
    <mergeCell ref="A364:A365"/>
    <mergeCell ref="B364:B365"/>
    <mergeCell ref="C364:C365"/>
    <mergeCell ref="D364:D365"/>
    <mergeCell ref="E364:E365"/>
    <mergeCell ref="F364:F365"/>
    <mergeCell ref="E360:E361"/>
    <mergeCell ref="F360:F361"/>
    <mergeCell ref="C358:C359"/>
    <mergeCell ref="D358:D359"/>
    <mergeCell ref="E358:E359"/>
    <mergeCell ref="F358:F359"/>
    <mergeCell ref="A356:A357"/>
    <mergeCell ref="B356:B357"/>
    <mergeCell ref="C356:C357"/>
    <mergeCell ref="D356:D357"/>
    <mergeCell ref="E356:E357"/>
    <mergeCell ref="F356:F357"/>
    <mergeCell ref="G343:G344"/>
    <mergeCell ref="H343:H344"/>
    <mergeCell ref="N343:N344"/>
    <mergeCell ref="O343:O344"/>
    <mergeCell ref="A350:A351"/>
    <mergeCell ref="B350:B351"/>
    <mergeCell ref="C350:C351"/>
    <mergeCell ref="D350:D351"/>
    <mergeCell ref="E350:E351"/>
    <mergeCell ref="F350:F351"/>
    <mergeCell ref="G341:G342"/>
    <mergeCell ref="H341:H342"/>
    <mergeCell ref="N341:N342"/>
    <mergeCell ref="O341:O342"/>
    <mergeCell ref="A343:A344"/>
    <mergeCell ref="B343:B344"/>
    <mergeCell ref="C343:C344"/>
    <mergeCell ref="D343:D344"/>
    <mergeCell ref="E343:E344"/>
    <mergeCell ref="F343:F344"/>
    <mergeCell ref="G346:G347"/>
    <mergeCell ref="H346:H347"/>
    <mergeCell ref="N346:N347"/>
    <mergeCell ref="O346:O347"/>
    <mergeCell ref="A348:A349"/>
    <mergeCell ref="B348:B349"/>
    <mergeCell ref="C348:C349"/>
    <mergeCell ref="D348:D349"/>
    <mergeCell ref="E348:E349"/>
    <mergeCell ref="F348:F349"/>
    <mergeCell ref="G339:G340"/>
    <mergeCell ref="H339:H340"/>
    <mergeCell ref="N339:N340"/>
    <mergeCell ref="O339:O340"/>
    <mergeCell ref="A341:A342"/>
    <mergeCell ref="B341:B342"/>
    <mergeCell ref="C341:C342"/>
    <mergeCell ref="D341:D342"/>
    <mergeCell ref="E341:E342"/>
    <mergeCell ref="F341:F342"/>
    <mergeCell ref="G331:G332"/>
    <mergeCell ref="H331:H332"/>
    <mergeCell ref="N331:N332"/>
    <mergeCell ref="O331:O332"/>
    <mergeCell ref="A339:A340"/>
    <mergeCell ref="B339:B340"/>
    <mergeCell ref="C339:C340"/>
    <mergeCell ref="D339:D340"/>
    <mergeCell ref="E339:E340"/>
    <mergeCell ref="F339:F340"/>
    <mergeCell ref="G329:G330"/>
    <mergeCell ref="H329:H330"/>
    <mergeCell ref="N329:N330"/>
    <mergeCell ref="O329:O330"/>
    <mergeCell ref="A331:A332"/>
    <mergeCell ref="B331:B332"/>
    <mergeCell ref="C331:C332"/>
    <mergeCell ref="D331:D332"/>
    <mergeCell ref="E331:E332"/>
    <mergeCell ref="F331:F332"/>
    <mergeCell ref="G314:G315"/>
    <mergeCell ref="H314:H315"/>
    <mergeCell ref="N314:N315"/>
    <mergeCell ref="O314:O315"/>
    <mergeCell ref="A329:A330"/>
    <mergeCell ref="B329:B330"/>
    <mergeCell ref="C329:C330"/>
    <mergeCell ref="D329:D330"/>
    <mergeCell ref="E329:E330"/>
    <mergeCell ref="F329:F330"/>
    <mergeCell ref="A327:A328"/>
    <mergeCell ref="B327:B328"/>
    <mergeCell ref="C327:C328"/>
    <mergeCell ref="D327:D328"/>
    <mergeCell ref="E327:E328"/>
    <mergeCell ref="F327:F328"/>
    <mergeCell ref="A325:A326"/>
    <mergeCell ref="B325:B326"/>
    <mergeCell ref="C325:C326"/>
    <mergeCell ref="D325:D326"/>
    <mergeCell ref="E325:E326"/>
    <mergeCell ref="F325:F326"/>
    <mergeCell ref="G312:G313"/>
    <mergeCell ref="H312:H313"/>
    <mergeCell ref="N312:N313"/>
    <mergeCell ref="O312:O313"/>
    <mergeCell ref="A314:A315"/>
    <mergeCell ref="B314:B315"/>
    <mergeCell ref="C314:C315"/>
    <mergeCell ref="D314:D315"/>
    <mergeCell ref="E314:E315"/>
    <mergeCell ref="F314:F315"/>
    <mergeCell ref="G310:G311"/>
    <mergeCell ref="H310:H311"/>
    <mergeCell ref="N310:N311"/>
    <mergeCell ref="O310:O311"/>
    <mergeCell ref="A312:A313"/>
    <mergeCell ref="B312:B313"/>
    <mergeCell ref="C312:C313"/>
    <mergeCell ref="D312:D313"/>
    <mergeCell ref="E312:E313"/>
    <mergeCell ref="F312:F313"/>
    <mergeCell ref="G308:G309"/>
    <mergeCell ref="H308:H309"/>
    <mergeCell ref="N308:N309"/>
    <mergeCell ref="O308:O309"/>
    <mergeCell ref="A310:A311"/>
    <mergeCell ref="B310:B311"/>
    <mergeCell ref="C310:C311"/>
    <mergeCell ref="D310:D311"/>
    <mergeCell ref="E310:E311"/>
    <mergeCell ref="F310:F311"/>
    <mergeCell ref="G306:G307"/>
    <mergeCell ref="H306:H307"/>
    <mergeCell ref="N306:N307"/>
    <mergeCell ref="O306:O307"/>
    <mergeCell ref="A308:A309"/>
    <mergeCell ref="B308:B309"/>
    <mergeCell ref="C308:C309"/>
    <mergeCell ref="D308:D309"/>
    <mergeCell ref="E308:E309"/>
    <mergeCell ref="F308:F309"/>
    <mergeCell ref="G303:G304"/>
    <mergeCell ref="H303:H304"/>
    <mergeCell ref="N303:N304"/>
    <mergeCell ref="O303:O304"/>
    <mergeCell ref="A306:A307"/>
    <mergeCell ref="B306:B307"/>
    <mergeCell ref="C306:C307"/>
    <mergeCell ref="D306:D307"/>
    <mergeCell ref="E306:E307"/>
    <mergeCell ref="F306:F307"/>
    <mergeCell ref="G299:G300"/>
    <mergeCell ref="H299:H300"/>
    <mergeCell ref="N299:N300"/>
    <mergeCell ref="O299:O300"/>
    <mergeCell ref="A303:A304"/>
    <mergeCell ref="B303:B304"/>
    <mergeCell ref="C303:C304"/>
    <mergeCell ref="D303:D304"/>
    <mergeCell ref="E303:E304"/>
    <mergeCell ref="F303:F304"/>
    <mergeCell ref="G301:G302"/>
    <mergeCell ref="H301:H302"/>
    <mergeCell ref="N301:N302"/>
    <mergeCell ref="O301:O302"/>
    <mergeCell ref="G295:G296"/>
    <mergeCell ref="H295:H296"/>
    <mergeCell ref="N295:N296"/>
    <mergeCell ref="O295:O296"/>
    <mergeCell ref="A299:A300"/>
    <mergeCell ref="B299:B300"/>
    <mergeCell ref="C299:C300"/>
    <mergeCell ref="D299:D300"/>
    <mergeCell ref="E299:E300"/>
    <mergeCell ref="F299:F300"/>
    <mergeCell ref="G287:G288"/>
    <mergeCell ref="H287:H288"/>
    <mergeCell ref="N287:N288"/>
    <mergeCell ref="O287:O288"/>
    <mergeCell ref="A295:A296"/>
    <mergeCell ref="B295:B296"/>
    <mergeCell ref="C295:C296"/>
    <mergeCell ref="D295:D296"/>
    <mergeCell ref="E295:E296"/>
    <mergeCell ref="F295:F296"/>
    <mergeCell ref="G293:G294"/>
    <mergeCell ref="H293:H294"/>
    <mergeCell ref="N293:N294"/>
    <mergeCell ref="O293:O294"/>
    <mergeCell ref="A293:A294"/>
    <mergeCell ref="B293:B294"/>
    <mergeCell ref="C293:C294"/>
    <mergeCell ref="D293:D294"/>
    <mergeCell ref="E293:E294"/>
    <mergeCell ref="F293:F294"/>
    <mergeCell ref="G289:G290"/>
    <mergeCell ref="H289:H290"/>
    <mergeCell ref="G285:G286"/>
    <mergeCell ref="H285:H286"/>
    <mergeCell ref="N285:N286"/>
    <mergeCell ref="O285:O286"/>
    <mergeCell ref="A287:A288"/>
    <mergeCell ref="B287:B288"/>
    <mergeCell ref="C287:C288"/>
    <mergeCell ref="D287:D288"/>
    <mergeCell ref="E287:E288"/>
    <mergeCell ref="F287:F288"/>
    <mergeCell ref="G267:G268"/>
    <mergeCell ref="H267:H268"/>
    <mergeCell ref="N267:N268"/>
    <mergeCell ref="O267:O268"/>
    <mergeCell ref="A285:A286"/>
    <mergeCell ref="B285:B286"/>
    <mergeCell ref="C285:C286"/>
    <mergeCell ref="D285:D286"/>
    <mergeCell ref="E285:E286"/>
    <mergeCell ref="F285:F286"/>
    <mergeCell ref="A267:A268"/>
    <mergeCell ref="B267:B268"/>
    <mergeCell ref="C267:C268"/>
    <mergeCell ref="D267:D268"/>
    <mergeCell ref="E267:E268"/>
    <mergeCell ref="F267:F268"/>
    <mergeCell ref="E278:E279"/>
    <mergeCell ref="F278:F279"/>
    <mergeCell ref="G281:G282"/>
    <mergeCell ref="H281:H282"/>
    <mergeCell ref="N281:N282"/>
    <mergeCell ref="O281:O282"/>
    <mergeCell ref="E259:E260"/>
    <mergeCell ref="F259:F260"/>
    <mergeCell ref="G255:G256"/>
    <mergeCell ref="H255:H256"/>
    <mergeCell ref="N255:N256"/>
    <mergeCell ref="O255:O256"/>
    <mergeCell ref="A257:A258"/>
    <mergeCell ref="B257:B258"/>
    <mergeCell ref="C257:C258"/>
    <mergeCell ref="D257:D258"/>
    <mergeCell ref="E257:E258"/>
    <mergeCell ref="F257:F258"/>
    <mergeCell ref="G253:G254"/>
    <mergeCell ref="H253:H254"/>
    <mergeCell ref="N253:N254"/>
    <mergeCell ref="O253:O254"/>
    <mergeCell ref="A255:A256"/>
    <mergeCell ref="B255:B256"/>
    <mergeCell ref="C255:C256"/>
    <mergeCell ref="D255:D256"/>
    <mergeCell ref="E255:E256"/>
    <mergeCell ref="F255:F256"/>
    <mergeCell ref="G251:G252"/>
    <mergeCell ref="H251:H252"/>
    <mergeCell ref="N251:N252"/>
    <mergeCell ref="O251:O252"/>
    <mergeCell ref="A253:A254"/>
    <mergeCell ref="B253:B254"/>
    <mergeCell ref="C253:C254"/>
    <mergeCell ref="D253:D254"/>
    <mergeCell ref="E253:E254"/>
    <mergeCell ref="F253:F254"/>
    <mergeCell ref="G249:G250"/>
    <mergeCell ref="H249:H250"/>
    <mergeCell ref="N249:N250"/>
    <mergeCell ref="O249:O250"/>
    <mergeCell ref="A251:A252"/>
    <mergeCell ref="B251:B252"/>
    <mergeCell ref="C251:C252"/>
    <mergeCell ref="D251:D252"/>
    <mergeCell ref="E251:E252"/>
    <mergeCell ref="F251:F252"/>
    <mergeCell ref="G246:G247"/>
    <mergeCell ref="H246:H247"/>
    <mergeCell ref="N246:N247"/>
    <mergeCell ref="O246:O247"/>
    <mergeCell ref="A249:A250"/>
    <mergeCell ref="B249:B250"/>
    <mergeCell ref="C249:C250"/>
    <mergeCell ref="D249:D250"/>
    <mergeCell ref="E249:E250"/>
    <mergeCell ref="F249:F250"/>
    <mergeCell ref="G240:G241"/>
    <mergeCell ref="H240:H241"/>
    <mergeCell ref="N240:N241"/>
    <mergeCell ref="O240:O241"/>
    <mergeCell ref="A246:A247"/>
    <mergeCell ref="B246:B247"/>
    <mergeCell ref="C246:C247"/>
    <mergeCell ref="D246:D247"/>
    <mergeCell ref="E246:E247"/>
    <mergeCell ref="F246:F247"/>
    <mergeCell ref="A240:A241"/>
    <mergeCell ref="B240:B241"/>
    <mergeCell ref="C240:C241"/>
    <mergeCell ref="D240:D241"/>
    <mergeCell ref="E240:E241"/>
    <mergeCell ref="F240:F241"/>
    <mergeCell ref="G244:G245"/>
    <mergeCell ref="H244:H245"/>
    <mergeCell ref="N244:N245"/>
    <mergeCell ref="O244:O245"/>
    <mergeCell ref="E238:E239"/>
    <mergeCell ref="F238:F239"/>
    <mergeCell ref="G234:G235"/>
    <mergeCell ref="H234:H235"/>
    <mergeCell ref="N234:N235"/>
    <mergeCell ref="O234:O235"/>
    <mergeCell ref="A236:A237"/>
    <mergeCell ref="B236:B237"/>
    <mergeCell ref="C236:C237"/>
    <mergeCell ref="D236:D237"/>
    <mergeCell ref="E236:E237"/>
    <mergeCell ref="F236:F237"/>
    <mergeCell ref="G228:G229"/>
    <mergeCell ref="H228:H229"/>
    <mergeCell ref="N228:N229"/>
    <mergeCell ref="O228:O229"/>
    <mergeCell ref="A234:A235"/>
    <mergeCell ref="B234:B235"/>
    <mergeCell ref="C234:C235"/>
    <mergeCell ref="D234:D235"/>
    <mergeCell ref="E234:E235"/>
    <mergeCell ref="F234:F235"/>
    <mergeCell ref="G230:G232"/>
    <mergeCell ref="H230:H232"/>
    <mergeCell ref="N230:N232"/>
    <mergeCell ref="O230:O232"/>
    <mergeCell ref="A230:A232"/>
    <mergeCell ref="B230:B232"/>
    <mergeCell ref="C230:C232"/>
    <mergeCell ref="D230:D232"/>
    <mergeCell ref="E230:E232"/>
    <mergeCell ref="F230:F232"/>
    <mergeCell ref="G226:G227"/>
    <mergeCell ref="H226:H227"/>
    <mergeCell ref="N226:N227"/>
    <mergeCell ref="O226:O227"/>
    <mergeCell ref="A228:A229"/>
    <mergeCell ref="B228:B229"/>
    <mergeCell ref="C228:C229"/>
    <mergeCell ref="D228:D229"/>
    <mergeCell ref="E228:E229"/>
    <mergeCell ref="F228:F229"/>
    <mergeCell ref="G222:G224"/>
    <mergeCell ref="H222:H224"/>
    <mergeCell ref="N222:N224"/>
    <mergeCell ref="O222:O224"/>
    <mergeCell ref="A226:A227"/>
    <mergeCell ref="B226:B227"/>
    <mergeCell ref="C226:C227"/>
    <mergeCell ref="D226:D227"/>
    <mergeCell ref="E226:E227"/>
    <mergeCell ref="F226:F227"/>
    <mergeCell ref="G220:G221"/>
    <mergeCell ref="H220:H221"/>
    <mergeCell ref="N220:N221"/>
    <mergeCell ref="O220:O221"/>
    <mergeCell ref="A222:A224"/>
    <mergeCell ref="B222:B224"/>
    <mergeCell ref="C222:C224"/>
    <mergeCell ref="D222:D224"/>
    <mergeCell ref="E222:E224"/>
    <mergeCell ref="F222:F224"/>
    <mergeCell ref="G215:G217"/>
    <mergeCell ref="H215:H217"/>
    <mergeCell ref="N215:N217"/>
    <mergeCell ref="O215:O217"/>
    <mergeCell ref="A220:A221"/>
    <mergeCell ref="B220:B221"/>
    <mergeCell ref="C220:C221"/>
    <mergeCell ref="D220:D221"/>
    <mergeCell ref="E220:E221"/>
    <mergeCell ref="F220:F221"/>
    <mergeCell ref="G213:G214"/>
    <mergeCell ref="H213:H214"/>
    <mergeCell ref="N213:N214"/>
    <mergeCell ref="O213:O214"/>
    <mergeCell ref="A215:A217"/>
    <mergeCell ref="B215:B217"/>
    <mergeCell ref="C215:C217"/>
    <mergeCell ref="D215:D217"/>
    <mergeCell ref="E215:E217"/>
    <mergeCell ref="F215:F217"/>
    <mergeCell ref="G209:G212"/>
    <mergeCell ref="H209:H212"/>
    <mergeCell ref="N209:N212"/>
    <mergeCell ref="O209:O212"/>
    <mergeCell ref="A213:A214"/>
    <mergeCell ref="B213:B214"/>
    <mergeCell ref="C213:C214"/>
    <mergeCell ref="D213:D214"/>
    <mergeCell ref="E213:E214"/>
    <mergeCell ref="F213:F214"/>
    <mergeCell ref="G206:G208"/>
    <mergeCell ref="H206:H208"/>
    <mergeCell ref="N206:N208"/>
    <mergeCell ref="O206:O208"/>
    <mergeCell ref="A209:A212"/>
    <mergeCell ref="B209:B212"/>
    <mergeCell ref="C209:C212"/>
    <mergeCell ref="D209:D212"/>
    <mergeCell ref="E209:E212"/>
    <mergeCell ref="F209:F212"/>
    <mergeCell ref="G203:G205"/>
    <mergeCell ref="H203:H205"/>
    <mergeCell ref="N203:N205"/>
    <mergeCell ref="O203:O205"/>
    <mergeCell ref="A206:A208"/>
    <mergeCell ref="B206:B208"/>
    <mergeCell ref="C206:C208"/>
    <mergeCell ref="D206:D208"/>
    <mergeCell ref="E206:E208"/>
    <mergeCell ref="F206:F208"/>
    <mergeCell ref="G201:G202"/>
    <mergeCell ref="H201:H202"/>
    <mergeCell ref="N201:N202"/>
    <mergeCell ref="O201:O202"/>
    <mergeCell ref="A203:A205"/>
    <mergeCell ref="B203:B205"/>
    <mergeCell ref="C203:C205"/>
    <mergeCell ref="D203:D205"/>
    <mergeCell ref="E203:E205"/>
    <mergeCell ref="F203:F205"/>
    <mergeCell ref="G199:G200"/>
    <mergeCell ref="H199:H200"/>
    <mergeCell ref="N199:N200"/>
    <mergeCell ref="O199:O200"/>
    <mergeCell ref="A201:A202"/>
    <mergeCell ref="B201:B202"/>
    <mergeCell ref="C201:C202"/>
    <mergeCell ref="D201:D202"/>
    <mergeCell ref="E201:E202"/>
    <mergeCell ref="F201:F202"/>
    <mergeCell ref="G195:G196"/>
    <mergeCell ref="H195:H196"/>
    <mergeCell ref="N195:N196"/>
    <mergeCell ref="O195:O196"/>
    <mergeCell ref="A199:A200"/>
    <mergeCell ref="B199:B200"/>
    <mergeCell ref="C199:C200"/>
    <mergeCell ref="D199:D200"/>
    <mergeCell ref="E199:E200"/>
    <mergeCell ref="F199:F200"/>
    <mergeCell ref="G193:G194"/>
    <mergeCell ref="H193:H194"/>
    <mergeCell ref="N193:N194"/>
    <mergeCell ref="O193:O194"/>
    <mergeCell ref="A195:A196"/>
    <mergeCell ref="B195:B196"/>
    <mergeCell ref="C195:C196"/>
    <mergeCell ref="D195:D196"/>
    <mergeCell ref="E195:E196"/>
    <mergeCell ref="F195:F196"/>
    <mergeCell ref="G191:G192"/>
    <mergeCell ref="H191:H192"/>
    <mergeCell ref="N191:N192"/>
    <mergeCell ref="O191:O192"/>
    <mergeCell ref="A193:A194"/>
    <mergeCell ref="B193:B194"/>
    <mergeCell ref="C193:C194"/>
    <mergeCell ref="D193:D194"/>
    <mergeCell ref="E193:E194"/>
    <mergeCell ref="F193:F194"/>
    <mergeCell ref="G181:G182"/>
    <mergeCell ref="H181:H182"/>
    <mergeCell ref="N181:N182"/>
    <mergeCell ref="O181:O182"/>
    <mergeCell ref="A191:A192"/>
    <mergeCell ref="B191:B192"/>
    <mergeCell ref="C191:C192"/>
    <mergeCell ref="D191:D192"/>
    <mergeCell ref="E191:E192"/>
    <mergeCell ref="F191:F192"/>
    <mergeCell ref="A181:A182"/>
    <mergeCell ref="B181:B182"/>
    <mergeCell ref="C181:C182"/>
    <mergeCell ref="D181:D182"/>
    <mergeCell ref="E181:E182"/>
    <mergeCell ref="F181:F182"/>
    <mergeCell ref="A183:A184"/>
    <mergeCell ref="B183:B184"/>
    <mergeCell ref="C183:C184"/>
    <mergeCell ref="D183:D184"/>
    <mergeCell ref="E183:E184"/>
    <mergeCell ref="F183:F184"/>
    <mergeCell ref="N177:N178"/>
    <mergeCell ref="O177:O178"/>
    <mergeCell ref="A179:A180"/>
    <mergeCell ref="B179:B180"/>
    <mergeCell ref="C179:C180"/>
    <mergeCell ref="D179:D180"/>
    <mergeCell ref="E179:E180"/>
    <mergeCell ref="F179:F180"/>
    <mergeCell ref="G175:G176"/>
    <mergeCell ref="H175:H176"/>
    <mergeCell ref="N175:N176"/>
    <mergeCell ref="O175:O176"/>
    <mergeCell ref="A177:A178"/>
    <mergeCell ref="B177:B178"/>
    <mergeCell ref="C177:C178"/>
    <mergeCell ref="D177:D178"/>
    <mergeCell ref="E177:E178"/>
    <mergeCell ref="F177:F178"/>
    <mergeCell ref="G156:G157"/>
    <mergeCell ref="H156:H157"/>
    <mergeCell ref="N156:N157"/>
    <mergeCell ref="O156:O157"/>
    <mergeCell ref="A175:A176"/>
    <mergeCell ref="B175:B176"/>
    <mergeCell ref="C175:C176"/>
    <mergeCell ref="D175:D176"/>
    <mergeCell ref="E175:E176"/>
    <mergeCell ref="F175:F176"/>
    <mergeCell ref="G154:G155"/>
    <mergeCell ref="H154:H155"/>
    <mergeCell ref="N154:N155"/>
    <mergeCell ref="O154:O155"/>
    <mergeCell ref="A156:A157"/>
    <mergeCell ref="B156:B157"/>
    <mergeCell ref="C156:C157"/>
    <mergeCell ref="D156:D157"/>
    <mergeCell ref="E156:E157"/>
    <mergeCell ref="F156:F157"/>
    <mergeCell ref="G160:G161"/>
    <mergeCell ref="H160:H161"/>
    <mergeCell ref="N160:N161"/>
    <mergeCell ref="O160:O161"/>
    <mergeCell ref="A162:A163"/>
    <mergeCell ref="B162:B163"/>
    <mergeCell ref="C162:C163"/>
    <mergeCell ref="D162:D163"/>
    <mergeCell ref="E162:E163"/>
    <mergeCell ref="F162:F163"/>
    <mergeCell ref="G158:G159"/>
    <mergeCell ref="H158:H159"/>
    <mergeCell ref="G152:G153"/>
    <mergeCell ref="H152:H153"/>
    <mergeCell ref="N152:N153"/>
    <mergeCell ref="O152:O153"/>
    <mergeCell ref="A154:A155"/>
    <mergeCell ref="B154:B155"/>
    <mergeCell ref="C154:C155"/>
    <mergeCell ref="D154:D155"/>
    <mergeCell ref="E154:E155"/>
    <mergeCell ref="F154:F155"/>
    <mergeCell ref="A152:A153"/>
    <mergeCell ref="B152:B153"/>
    <mergeCell ref="C152:C153"/>
    <mergeCell ref="D152:D153"/>
    <mergeCell ref="E152:E153"/>
    <mergeCell ref="F152:F153"/>
    <mergeCell ref="G455:G456"/>
    <mergeCell ref="H455:H456"/>
    <mergeCell ref="N455:N456"/>
    <mergeCell ref="O455:O456"/>
    <mergeCell ref="G379:G380"/>
    <mergeCell ref="H379:H380"/>
    <mergeCell ref="N379:N380"/>
    <mergeCell ref="O379:O380"/>
    <mergeCell ref="A455:A456"/>
    <mergeCell ref="B455:B456"/>
    <mergeCell ref="C455:C456"/>
    <mergeCell ref="D455:D456"/>
    <mergeCell ref="E455:E456"/>
    <mergeCell ref="F455:F456"/>
    <mergeCell ref="A379:A380"/>
    <mergeCell ref="B379:B380"/>
    <mergeCell ref="N468:N469"/>
    <mergeCell ref="O468:O469"/>
    <mergeCell ref="A434:A435"/>
    <mergeCell ref="B434:B435"/>
    <mergeCell ref="C434:C435"/>
    <mergeCell ref="D434:D435"/>
    <mergeCell ref="E434:E435"/>
    <mergeCell ref="F434:F435"/>
    <mergeCell ref="G424:G425"/>
    <mergeCell ref="H424:H425"/>
    <mergeCell ref="N424:N425"/>
    <mergeCell ref="O424:O425"/>
    <mergeCell ref="A468:A469"/>
    <mergeCell ref="B468:B469"/>
    <mergeCell ref="C468:C469"/>
    <mergeCell ref="D468:D469"/>
    <mergeCell ref="E468:E469"/>
    <mergeCell ref="F468:F469"/>
    <mergeCell ref="A424:A425"/>
    <mergeCell ref="B424:B425"/>
    <mergeCell ref="C424:C425"/>
    <mergeCell ref="D424:D425"/>
    <mergeCell ref="E424:E425"/>
    <mergeCell ref="F424:F425"/>
    <mergeCell ref="G430:G431"/>
    <mergeCell ref="H430:H431"/>
    <mergeCell ref="N430:N431"/>
    <mergeCell ref="O430:O431"/>
    <mergeCell ref="A432:A433"/>
    <mergeCell ref="B432:B433"/>
    <mergeCell ref="C432:C433"/>
    <mergeCell ref="D432:D433"/>
    <mergeCell ref="N3:N4"/>
    <mergeCell ref="H3:H4"/>
    <mergeCell ref="G3:G4"/>
    <mergeCell ref="A3:A4"/>
    <mergeCell ref="M1:N1"/>
    <mergeCell ref="O3:O4"/>
    <mergeCell ref="C1:F1"/>
    <mergeCell ref="D2:M2"/>
    <mergeCell ref="B3:B4"/>
    <mergeCell ref="C3:C4"/>
    <mergeCell ref="D3:D4"/>
    <mergeCell ref="E3:E4"/>
    <mergeCell ref="F3:F4"/>
    <mergeCell ref="I3:L3"/>
    <mergeCell ref="M3:M4"/>
    <mergeCell ref="A523:A524"/>
    <mergeCell ref="B523:B524"/>
    <mergeCell ref="C523:C524"/>
    <mergeCell ref="D523:D524"/>
    <mergeCell ref="E523:E524"/>
    <mergeCell ref="F523:F524"/>
    <mergeCell ref="G523:G524"/>
    <mergeCell ref="H523:H524"/>
    <mergeCell ref="N523:N524"/>
    <mergeCell ref="O523:O524"/>
    <mergeCell ref="C10:C12"/>
    <mergeCell ref="D10:D12"/>
    <mergeCell ref="E10:E12"/>
    <mergeCell ref="F10:F12"/>
    <mergeCell ref="G10:G12"/>
    <mergeCell ref="H10:H12"/>
    <mergeCell ref="N10:N12"/>
    <mergeCell ref="A525:A526"/>
    <mergeCell ref="B525:B526"/>
    <mergeCell ref="C525:C526"/>
    <mergeCell ref="D525:D526"/>
    <mergeCell ref="E525:E526"/>
    <mergeCell ref="F525:F526"/>
    <mergeCell ref="G525:G526"/>
    <mergeCell ref="H525:H526"/>
    <mergeCell ref="N525:N526"/>
    <mergeCell ref="O525:O526"/>
    <mergeCell ref="A5:A7"/>
    <mergeCell ref="B5:B7"/>
    <mergeCell ref="C5:C7"/>
    <mergeCell ref="D5:D7"/>
    <mergeCell ref="E5:E7"/>
    <mergeCell ref="F5:F7"/>
    <mergeCell ref="G5:G7"/>
    <mergeCell ref="H5:H7"/>
    <mergeCell ref="N5:N7"/>
    <mergeCell ref="O5:O7"/>
    <mergeCell ref="A8:A9"/>
    <mergeCell ref="B8:B9"/>
    <mergeCell ref="C8:C9"/>
    <mergeCell ref="D8:D9"/>
    <mergeCell ref="E8:E9"/>
    <mergeCell ref="F8:F9"/>
    <mergeCell ref="G8:G9"/>
    <mergeCell ref="H8:H9"/>
    <mergeCell ref="N8:N9"/>
    <mergeCell ref="O8:O9"/>
    <mergeCell ref="A10:A12"/>
    <mergeCell ref="B10:B12"/>
    <mergeCell ref="O10:O12"/>
    <mergeCell ref="A13:A14"/>
    <mergeCell ref="B13:B14"/>
    <mergeCell ref="C13:C14"/>
    <mergeCell ref="D13:D14"/>
    <mergeCell ref="E13:E14"/>
    <mergeCell ref="F13:F14"/>
    <mergeCell ref="G13:G14"/>
    <mergeCell ref="H13:H14"/>
    <mergeCell ref="N13:N14"/>
    <mergeCell ref="O13:O14"/>
    <mergeCell ref="A15:A16"/>
    <mergeCell ref="B15:B16"/>
    <mergeCell ref="C15:C16"/>
    <mergeCell ref="D15:D16"/>
    <mergeCell ref="E15:E16"/>
    <mergeCell ref="F15:F16"/>
    <mergeCell ref="G15:G16"/>
    <mergeCell ref="H15:H16"/>
    <mergeCell ref="N15:N16"/>
    <mergeCell ref="O15:O16"/>
    <mergeCell ref="A17:A19"/>
    <mergeCell ref="B17:B19"/>
    <mergeCell ref="C17:C19"/>
    <mergeCell ref="D17:D19"/>
    <mergeCell ref="E17:E19"/>
    <mergeCell ref="F17:F19"/>
    <mergeCell ref="G17:G19"/>
    <mergeCell ref="H17:H19"/>
    <mergeCell ref="N17:N19"/>
    <mergeCell ref="O17:O19"/>
    <mergeCell ref="A20:A21"/>
    <mergeCell ref="B20:B21"/>
    <mergeCell ref="C20:C21"/>
    <mergeCell ref="D20:D21"/>
    <mergeCell ref="E20:E21"/>
    <mergeCell ref="F20:F21"/>
    <mergeCell ref="G20:G21"/>
    <mergeCell ref="H20:H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N22:N23"/>
    <mergeCell ref="O22:O23"/>
    <mergeCell ref="A24:A26"/>
    <mergeCell ref="B24:B26"/>
    <mergeCell ref="C24:C26"/>
    <mergeCell ref="D24:D26"/>
    <mergeCell ref="E24:E26"/>
    <mergeCell ref="F24:F26"/>
    <mergeCell ref="G24:G26"/>
    <mergeCell ref="H24:H26"/>
    <mergeCell ref="N24:N26"/>
    <mergeCell ref="O24:O26"/>
    <mergeCell ref="A27:A28"/>
    <mergeCell ref="B27:B28"/>
    <mergeCell ref="C27:C28"/>
    <mergeCell ref="D27:D28"/>
    <mergeCell ref="E27:E28"/>
    <mergeCell ref="F27:F28"/>
    <mergeCell ref="G27:G28"/>
    <mergeCell ref="H27:H28"/>
    <mergeCell ref="N27:N28"/>
    <mergeCell ref="O27:O28"/>
    <mergeCell ref="A37:A38"/>
    <mergeCell ref="B37:B38"/>
    <mergeCell ref="C37:C38"/>
    <mergeCell ref="D37:D38"/>
    <mergeCell ref="E37:E38"/>
    <mergeCell ref="F37:F38"/>
    <mergeCell ref="G37:G38"/>
    <mergeCell ref="H37:H38"/>
    <mergeCell ref="N37:N38"/>
    <mergeCell ref="O37:O38"/>
    <mergeCell ref="A39:A40"/>
    <mergeCell ref="B39:B40"/>
    <mergeCell ref="C39:C40"/>
    <mergeCell ref="D39:D40"/>
    <mergeCell ref="E39:E40"/>
    <mergeCell ref="F39:F40"/>
    <mergeCell ref="G39:G40"/>
    <mergeCell ref="H39:H40"/>
    <mergeCell ref="N39:N40"/>
    <mergeCell ref="O39:O40"/>
    <mergeCell ref="A41:A42"/>
    <mergeCell ref="B41:B42"/>
    <mergeCell ref="C41:C42"/>
    <mergeCell ref="D41:D42"/>
    <mergeCell ref="E41:E42"/>
    <mergeCell ref="F41:F42"/>
    <mergeCell ref="G41:G42"/>
    <mergeCell ref="H41:H42"/>
    <mergeCell ref="N41:N42"/>
    <mergeCell ref="O41:O42"/>
    <mergeCell ref="A43:A44"/>
    <mergeCell ref="B43:B44"/>
    <mergeCell ref="C43:C44"/>
    <mergeCell ref="D43:D44"/>
    <mergeCell ref="E43:E44"/>
    <mergeCell ref="F43:F44"/>
    <mergeCell ref="G43:G44"/>
    <mergeCell ref="H43:H44"/>
    <mergeCell ref="N43:N44"/>
    <mergeCell ref="O43:O44"/>
    <mergeCell ref="A45:A46"/>
    <mergeCell ref="B45:B46"/>
    <mergeCell ref="C45:C46"/>
    <mergeCell ref="D45:D46"/>
    <mergeCell ref="E45:E46"/>
    <mergeCell ref="F45:F46"/>
    <mergeCell ref="G45:G46"/>
    <mergeCell ref="H45:H46"/>
    <mergeCell ref="N45:N46"/>
    <mergeCell ref="O45:O46"/>
    <mergeCell ref="A47:A48"/>
    <mergeCell ref="B47:B48"/>
    <mergeCell ref="C47:C48"/>
    <mergeCell ref="D47:D48"/>
    <mergeCell ref="E47:E48"/>
    <mergeCell ref="F47:F48"/>
    <mergeCell ref="G47:G48"/>
    <mergeCell ref="H47:H48"/>
    <mergeCell ref="N47:N48"/>
    <mergeCell ref="O47:O48"/>
    <mergeCell ref="A49:A50"/>
    <mergeCell ref="B49:B50"/>
    <mergeCell ref="C49:C50"/>
    <mergeCell ref="D49:D50"/>
    <mergeCell ref="E49:E50"/>
    <mergeCell ref="F49:F50"/>
    <mergeCell ref="G49:G50"/>
    <mergeCell ref="H49:H50"/>
    <mergeCell ref="N49:N50"/>
    <mergeCell ref="O49:O50"/>
    <mergeCell ref="N64:N65"/>
    <mergeCell ref="O64:O65"/>
    <mergeCell ref="A68:A69"/>
    <mergeCell ref="B68:B69"/>
    <mergeCell ref="C68:C69"/>
    <mergeCell ref="D68:D69"/>
    <mergeCell ref="E68:E69"/>
    <mergeCell ref="F68:F69"/>
    <mergeCell ref="G68:G69"/>
    <mergeCell ref="H68:H69"/>
    <mergeCell ref="N68:N69"/>
    <mergeCell ref="O68:O69"/>
    <mergeCell ref="A55:A56"/>
    <mergeCell ref="B55:B56"/>
    <mergeCell ref="C55:C56"/>
    <mergeCell ref="D55:D56"/>
    <mergeCell ref="E55:E56"/>
    <mergeCell ref="F55:F56"/>
    <mergeCell ref="G55:G56"/>
    <mergeCell ref="H55:H56"/>
    <mergeCell ref="N55:N56"/>
    <mergeCell ref="O55:O56"/>
    <mergeCell ref="A57:A58"/>
    <mergeCell ref="B57:B58"/>
    <mergeCell ref="C57:C58"/>
    <mergeCell ref="D57:D58"/>
    <mergeCell ref="E57:E58"/>
    <mergeCell ref="F57:F58"/>
    <mergeCell ref="G57:G58"/>
    <mergeCell ref="H57:H58"/>
    <mergeCell ref="N57:N58"/>
    <mergeCell ref="O57:O58"/>
    <mergeCell ref="A70:A71"/>
    <mergeCell ref="B70:B71"/>
    <mergeCell ref="C70:C71"/>
    <mergeCell ref="D70:D71"/>
    <mergeCell ref="E70:E71"/>
    <mergeCell ref="F70:F71"/>
    <mergeCell ref="G70:G71"/>
    <mergeCell ref="H70:H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H72:H73"/>
    <mergeCell ref="N72:N73"/>
    <mergeCell ref="O72:O73"/>
    <mergeCell ref="A74:A75"/>
    <mergeCell ref="B74:B75"/>
    <mergeCell ref="C74:C75"/>
    <mergeCell ref="D74:D75"/>
    <mergeCell ref="E74:E75"/>
    <mergeCell ref="F74:F75"/>
    <mergeCell ref="G74:G75"/>
    <mergeCell ref="H74:H75"/>
    <mergeCell ref="N74:N75"/>
    <mergeCell ref="O74:O75"/>
    <mergeCell ref="A84:A85"/>
    <mergeCell ref="B84:B85"/>
    <mergeCell ref="C84:C85"/>
    <mergeCell ref="D84:D85"/>
    <mergeCell ref="E84:E85"/>
    <mergeCell ref="F84:F85"/>
    <mergeCell ref="G84:G85"/>
    <mergeCell ref="H84:H85"/>
    <mergeCell ref="N84:N85"/>
    <mergeCell ref="O84:O85"/>
    <mergeCell ref="A80:A83"/>
    <mergeCell ref="B80:B83"/>
    <mergeCell ref="C80:C83"/>
    <mergeCell ref="D80:D83"/>
    <mergeCell ref="E80:E83"/>
    <mergeCell ref="F80:F83"/>
    <mergeCell ref="G80:G83"/>
    <mergeCell ref="H80:H83"/>
    <mergeCell ref="N80:N83"/>
    <mergeCell ref="O80:O83"/>
    <mergeCell ref="A76:A77"/>
    <mergeCell ref="B76:B77"/>
    <mergeCell ref="A86:A87"/>
    <mergeCell ref="B86:B87"/>
    <mergeCell ref="C86:C87"/>
    <mergeCell ref="D86:D87"/>
    <mergeCell ref="E86:E87"/>
    <mergeCell ref="F86:F87"/>
    <mergeCell ref="G86:G87"/>
    <mergeCell ref="H86:H87"/>
    <mergeCell ref="N86:N87"/>
    <mergeCell ref="O86:O87"/>
    <mergeCell ref="A90:A91"/>
    <mergeCell ref="B90:B91"/>
    <mergeCell ref="C90:C91"/>
    <mergeCell ref="D90:D91"/>
    <mergeCell ref="E90:E91"/>
    <mergeCell ref="F90:F91"/>
    <mergeCell ref="G90:G91"/>
    <mergeCell ref="H90:H91"/>
    <mergeCell ref="N90:N91"/>
    <mergeCell ref="O90:O91"/>
    <mergeCell ref="A88:A89"/>
    <mergeCell ref="B88:B89"/>
    <mergeCell ref="C88:C89"/>
    <mergeCell ref="D88:D89"/>
    <mergeCell ref="E88:E89"/>
    <mergeCell ref="F88:F89"/>
    <mergeCell ref="G88:G89"/>
    <mergeCell ref="H88:H89"/>
    <mergeCell ref="N88:N89"/>
    <mergeCell ref="O88:O89"/>
    <mergeCell ref="A92:A93"/>
    <mergeCell ref="B92:B93"/>
    <mergeCell ref="C92:C93"/>
    <mergeCell ref="D92:D93"/>
    <mergeCell ref="E92:E93"/>
    <mergeCell ref="F92:F93"/>
    <mergeCell ref="G92:G93"/>
    <mergeCell ref="H92:H93"/>
    <mergeCell ref="N92:N93"/>
    <mergeCell ref="O92:O93"/>
    <mergeCell ref="A94:A95"/>
    <mergeCell ref="B94:B95"/>
    <mergeCell ref="C94:C95"/>
    <mergeCell ref="D94:D95"/>
    <mergeCell ref="E94:E95"/>
    <mergeCell ref="F94:F95"/>
    <mergeCell ref="G94:G95"/>
    <mergeCell ref="H94:H95"/>
    <mergeCell ref="N94:N95"/>
    <mergeCell ref="O94:O95"/>
    <mergeCell ref="A96:A97"/>
    <mergeCell ref="B96:B97"/>
    <mergeCell ref="C96:C97"/>
    <mergeCell ref="D96:D97"/>
    <mergeCell ref="E96:E97"/>
    <mergeCell ref="F96:F97"/>
    <mergeCell ref="G96:G97"/>
    <mergeCell ref="H96:H97"/>
    <mergeCell ref="N96:N97"/>
    <mergeCell ref="O96:O97"/>
    <mergeCell ref="A110:A112"/>
    <mergeCell ref="B110:B112"/>
    <mergeCell ref="C110:C112"/>
    <mergeCell ref="D110:D112"/>
    <mergeCell ref="E110:E112"/>
    <mergeCell ref="F110:F112"/>
    <mergeCell ref="G110:G112"/>
    <mergeCell ref="H110:H112"/>
    <mergeCell ref="N110:N112"/>
    <mergeCell ref="O110:O112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N128:N129"/>
    <mergeCell ref="O128:O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N130:N131"/>
    <mergeCell ref="O130:O131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N132:N133"/>
    <mergeCell ref="O132:O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N134:N135"/>
    <mergeCell ref="O134:O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N136:N137"/>
    <mergeCell ref="O136:O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N140:N141"/>
    <mergeCell ref="O140:O141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N138:N139"/>
    <mergeCell ref="O138:O139"/>
    <mergeCell ref="C148:C149"/>
    <mergeCell ref="D148:D149"/>
    <mergeCell ref="E148:E149"/>
    <mergeCell ref="F148:F149"/>
    <mergeCell ref="G148:G149"/>
    <mergeCell ref="H148:H149"/>
    <mergeCell ref="N148:N149"/>
    <mergeCell ref="O148:O149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N142:N143"/>
    <mergeCell ref="O142:O143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N144:N145"/>
    <mergeCell ref="O144:O145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N124:N125"/>
    <mergeCell ref="O124:O125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N121:N123"/>
    <mergeCell ref="O121:O123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N119:N120"/>
    <mergeCell ref="O119:O120"/>
    <mergeCell ref="A115:A118"/>
    <mergeCell ref="B115:B118"/>
    <mergeCell ref="C115:C118"/>
    <mergeCell ref="D115:D118"/>
    <mergeCell ref="E115:E118"/>
    <mergeCell ref="F115:F118"/>
    <mergeCell ref="G115:G118"/>
    <mergeCell ref="H115:H118"/>
    <mergeCell ref="N115:N118"/>
    <mergeCell ref="O115:O118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N126:N127"/>
    <mergeCell ref="O126:O127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N150:N151"/>
    <mergeCell ref="O150:O151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N146:N147"/>
    <mergeCell ref="O146:O147"/>
    <mergeCell ref="A148:A149"/>
    <mergeCell ref="B148:B149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N108:N109"/>
    <mergeCell ref="O108:O109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N103:N104"/>
    <mergeCell ref="O103:O104"/>
    <mergeCell ref="A105:A107"/>
    <mergeCell ref="B105:B107"/>
    <mergeCell ref="C105:C107"/>
    <mergeCell ref="D105:D107"/>
    <mergeCell ref="E105:E107"/>
    <mergeCell ref="F105:F107"/>
    <mergeCell ref="G105:G107"/>
    <mergeCell ref="H105:H107"/>
    <mergeCell ref="N105:N107"/>
    <mergeCell ref="O105:O107"/>
    <mergeCell ref="A29:A30"/>
    <mergeCell ref="B29:B30"/>
    <mergeCell ref="C29:C30"/>
    <mergeCell ref="D29:D30"/>
    <mergeCell ref="E29:E30"/>
    <mergeCell ref="F29:F30"/>
    <mergeCell ref="G29:G30"/>
    <mergeCell ref="H29:H30"/>
    <mergeCell ref="N29:N30"/>
    <mergeCell ref="O29:O30"/>
    <mergeCell ref="A66:A67"/>
    <mergeCell ref="B66:B67"/>
    <mergeCell ref="C66:C67"/>
    <mergeCell ref="D66:D67"/>
    <mergeCell ref="E66:E67"/>
    <mergeCell ref="F66:F67"/>
    <mergeCell ref="G66:G67"/>
    <mergeCell ref="H66:H67"/>
    <mergeCell ref="N66:N67"/>
    <mergeCell ref="O66:O67"/>
    <mergeCell ref="C59:C60"/>
    <mergeCell ref="D59:D60"/>
    <mergeCell ref="E59:E60"/>
    <mergeCell ref="F59:F60"/>
    <mergeCell ref="A64:A65"/>
    <mergeCell ref="B64:B65"/>
    <mergeCell ref="C64:C65"/>
    <mergeCell ref="D64:D65"/>
    <mergeCell ref="E64:E65"/>
    <mergeCell ref="F64:F65"/>
    <mergeCell ref="G64:G65"/>
    <mergeCell ref="H64:H65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N113:N114"/>
    <mergeCell ref="O113:O114"/>
    <mergeCell ref="A31:A33"/>
    <mergeCell ref="B31:B33"/>
    <mergeCell ref="C31:C33"/>
    <mergeCell ref="D31:D33"/>
    <mergeCell ref="E31:E33"/>
    <mergeCell ref="F31:F33"/>
    <mergeCell ref="G31:G33"/>
    <mergeCell ref="H31:H33"/>
    <mergeCell ref="N31:N33"/>
    <mergeCell ref="O31:O33"/>
    <mergeCell ref="A34:A36"/>
    <mergeCell ref="B34:B36"/>
    <mergeCell ref="C34:C36"/>
    <mergeCell ref="D34:D36"/>
    <mergeCell ref="E34:E36"/>
    <mergeCell ref="F34:F36"/>
    <mergeCell ref="G34:G36"/>
    <mergeCell ref="H34:H36"/>
    <mergeCell ref="N34:N36"/>
    <mergeCell ref="O34:O36"/>
    <mergeCell ref="A59:A60"/>
    <mergeCell ref="B59:B60"/>
    <mergeCell ref="G59:G60"/>
    <mergeCell ref="H59:H60"/>
    <mergeCell ref="N59:N60"/>
    <mergeCell ref="O59:O60"/>
    <mergeCell ref="A61:A63"/>
    <mergeCell ref="B61:B63"/>
    <mergeCell ref="C61:C63"/>
    <mergeCell ref="D61:D63"/>
    <mergeCell ref="E61:E63"/>
    <mergeCell ref="F61:F63"/>
    <mergeCell ref="G61:G63"/>
    <mergeCell ref="H61:H63"/>
    <mergeCell ref="N61:N63"/>
    <mergeCell ref="O61:O63"/>
    <mergeCell ref="A78:A79"/>
    <mergeCell ref="B78:B79"/>
    <mergeCell ref="C78:C79"/>
    <mergeCell ref="D78:D79"/>
    <mergeCell ref="E78:E79"/>
    <mergeCell ref="F78:F79"/>
    <mergeCell ref="G78:G79"/>
    <mergeCell ref="H78:H79"/>
    <mergeCell ref="N78:N79"/>
    <mergeCell ref="O78:O79"/>
    <mergeCell ref="C76:C77"/>
    <mergeCell ref="D76:D77"/>
    <mergeCell ref="E76:E77"/>
    <mergeCell ref="F76:F77"/>
    <mergeCell ref="G76:G77"/>
    <mergeCell ref="H76:H77"/>
    <mergeCell ref="N76:N77"/>
    <mergeCell ref="O76:O77"/>
    <mergeCell ref="A51:A52"/>
    <mergeCell ref="B51:B52"/>
    <mergeCell ref="C51:C52"/>
    <mergeCell ref="D51:D52"/>
    <mergeCell ref="E51:E52"/>
    <mergeCell ref="F51:F52"/>
    <mergeCell ref="G51:G52"/>
    <mergeCell ref="H51:H52"/>
    <mergeCell ref="N51:N52"/>
    <mergeCell ref="O51:O52"/>
    <mergeCell ref="A53:A54"/>
    <mergeCell ref="B53:B54"/>
    <mergeCell ref="C53:C54"/>
    <mergeCell ref="D53:D54"/>
    <mergeCell ref="E53:E54"/>
    <mergeCell ref="F53:F54"/>
    <mergeCell ref="G53:G54"/>
    <mergeCell ref="H53:H54"/>
    <mergeCell ref="N53:N54"/>
    <mergeCell ref="O53:O54"/>
    <mergeCell ref="A100:A102"/>
    <mergeCell ref="B100:B102"/>
    <mergeCell ref="C100:C102"/>
    <mergeCell ref="D100:D102"/>
    <mergeCell ref="E100:E102"/>
    <mergeCell ref="F100:F102"/>
    <mergeCell ref="G100:G102"/>
    <mergeCell ref="H100:H102"/>
    <mergeCell ref="N100:N102"/>
    <mergeCell ref="O100:O102"/>
    <mergeCell ref="A98:A99"/>
    <mergeCell ref="B98:B99"/>
    <mergeCell ref="C98:C99"/>
    <mergeCell ref="D98:D99"/>
    <mergeCell ref="E98:E99"/>
    <mergeCell ref="F98:F99"/>
    <mergeCell ref="G98:G99"/>
    <mergeCell ref="H98:H99"/>
    <mergeCell ref="N98:N99"/>
    <mergeCell ref="O98:O99"/>
  </mergeCells>
  <pageMargins left="0.19685039370078741" right="0.19685039370078741" top="0.19685039370078741" bottom="0.19685039370078741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2021-04-28T08:25:21Z</cp:lastPrinted>
  <dcterms:created xsi:type="dcterms:W3CDTF">2021-04-27T10:10:20Z</dcterms:created>
  <dcterms:modified xsi:type="dcterms:W3CDTF">2021-04-30T11:12:14Z</dcterms:modified>
</cp:coreProperties>
</file>